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 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<sst xmlns="http://schemas.openxmlformats.org/spreadsheetml/2006/main" count="1829" uniqueCount="276">
  <si>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</si>
  <si>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</si>
  <si>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</si>
  <si>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</si>
  <si>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</si>
  <si>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</si>
  <si>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</si>
  <si>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</si>
  <si>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</si>
  <si>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</si>
  <si>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</si>
  <si>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</si>
  <si>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</si>
  <si>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</si>
  <si>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</si>
  <si>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</si>
  <si>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</si>
  <si>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</si>
  <si>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</si>
  <si>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</si>
  <si>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</si>
  <si>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</si>
  <si>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</si>
  <si>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</si>
  <si>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</si>
  <si>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</si>
  <si>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</si>
  <si>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</si>
  <si>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</si>
  <si>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</si>
  <si>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</si>
  <si>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</si>
  <si>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</si>
  <si>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</si>
  <si>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</si>
  <si>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</si>
  <si>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</si>
  <si>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</si>
  <si>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</si>
  <si>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</si>
  <si>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</si>
  <si>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</si>
  <si>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</si>
  <si>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</si>
  <si>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</si>
  <si>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</si>
  <si>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</si>
  <si>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</si>
  <si>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</si>
  <si>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</si>
  <si>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</si>
  <si>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</si>
  <si>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</si>
  <si>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</si>
  <si>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</si>
  <si>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</si>
  <si>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</si>
  <si>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</si>
  <si>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</si>
  <si>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</si>
  <si>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</si>
  <si>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</si>
  <si>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</si>
  <si>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</si>
  <si>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</si>
  <si>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</si>
  <si>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</si>
  <si>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</si>
  <si>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</si>
  <si>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</si>
  <si>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</si>
  <si>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</si>
  <si>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</si>
  <si>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</si>
  <si>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</si>
  <si>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</si>
  <si>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</si>
  <si>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</si>
  <si>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</si>
  <si>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</si>
  <si>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</si>
  <si>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</si>
  <si>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</si>
  <si>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</si>
  <si>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</si>
  <si>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</si>
  <si>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</si>
  <si>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</si>
  <si>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</si>
  <si>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</si>
  <si>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</si>
  <si>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</si>
  <si>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</si>
  <si>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</si>
  <si>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</si>
  <si>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</si>
  <si>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</si>
  <si>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</si>
  <si>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</si>
  <si>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</si>
  <si>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</si>
  <si>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</si>
  <si>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</si>
  <si>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</si>
  <si>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</si>
  <si>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</si>
  <si>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</si>
  <si>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</si>
  <si>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</si>
  <si>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</si>
  <si>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</si>
  <si>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</si>
  <si>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</si>
  <si>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</si>
  <si>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</si>
  <si>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</si>
  <si>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</si>
  <si>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</si>
  <si>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</si>
  <si>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</si>
  <si>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</si>
  <si>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</si>
  <si>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</si>
  <si>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</si>
  <si>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</si>
  <si>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</si>
  <si>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</si>
  <si>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</si>
  <si>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</si>
  <si>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</si>
  <si>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</si>
  <si>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</si>
  <si>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</si>
  <si>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</si>
  <si>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</si>
  <si>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</si>
  <si>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</si>
  <si>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</si>
  <si>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</si>
  <si>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</si>
  <si>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</si>
  <si>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</si>
  <si>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</si>
  <si>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</si>
  <si>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</si>
  <si>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</si>
  <si>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</si>
  <si>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</si>
  <si>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</si>
  <si>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</si>
  <si>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</si>
  <si>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</si>
  <si>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</si>
  <si>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</si>
  <si>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</si>
  <si>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</si>
  <si>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</si>
  <si>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</si>
  <si>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</si>
  <si>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</si>
  <si>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</si>
  <si>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</si>
  <si>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</si>
  <si>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</si>
  <si>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</si>
  <si>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</si>
  <si>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</si>
  <si>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</si>
  <si>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</si>
  <si>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</si>
  <si>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</si>
  <si>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</si>
  <si>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</si>
  <si>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</si>
  <si>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</si>
  <si>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</si>
  <si>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</si>
  <si>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</si>
  <si>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</si>
  <si>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</si>
  <si>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</si>
  <si>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</si>
  <si>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</si>
  <si>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</si>
  <si>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</si>
  <si>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</si>
  <si>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</si>
  <si>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</si>
  <si>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</si>
  <si>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</si>
  <si>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</si>
  <si>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</si>
  <si>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</si>
  <si>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</si>
  <si>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</si>
  <si>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</si>
  <si>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</si>
  <si>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</si>
  <si>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</si>
  <si>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</si>
  <si>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</si>
  <si>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</si>
  <si>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</si>
  <si>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</si>
  <si>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</si>
  <si>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</si>
  <si>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</si>
  <si>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</si>
  <si>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</si>
  <si>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</si>
  <si>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</si>
  <si>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</si>
  <si>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</si>
  <si>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</si>
  <si>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</si>
  <si>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</si>
  <si>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</si>
  <si>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</si>
  <si>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</si>
  <si>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</si>
  <si>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</si>
  <si>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</si>
  <si>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</si>
  <si>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</si>
  <si>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</si>
  <si>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</si>
  <si>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</si>
  <si>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</si>
  <si>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</si>
  <si>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</si>
  <si>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</si>
  <si>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</si>
  <si>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</si>
  <si>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</si>
  <si>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</si>
  <si>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</si>
  <si>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</si>
  <si>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</si>
  <si>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</si>
  <si>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</si>
  <si>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</si>
  <si>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</si>
  <si>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</si>
  <si>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</si>
  <si>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</si>
  <si>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</si>
  <si>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</si>
  <si>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</si>
  <si>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</si>
  <si>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</si>
  <si>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</si>
  <si>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</si>
  <si>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</si>
  <si>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</si>
  <si>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</si>
  <si>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</si>
  <si>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</si>
  <si>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</si>
  <si>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</si>
  <si>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</si>
  <si>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</si>
  <si>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</si>
  <si>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</si>
  <si>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</si>
  <si>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</si>
  <si>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</si>
  <si>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</si>
  <si>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</si>
  <si>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січень-вересень</t>
  </si>
  <si>
    <t>Відхилення до плану на січень-вересень</t>
  </si>
  <si>
    <t>% виконання до плану на січень-вересень</t>
  </si>
  <si>
    <t>на вересень  місяць</t>
  </si>
  <si>
    <t>Виконано у вересні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</si>
  <si>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(січень-серпень)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</si>
  <si>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04.09.2014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</si>
  <si>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03.09.14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</si>
</sst>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27" fillId="0" borderId="1" xfId="0" applyNumberFormat="1" applyFont="1" applyBorder="1" applyAlignment="1" applyProtection="1">
      <alignment/>
      <protection/>
    </xf>
    <xf numFmtId="183" fontId="27" fillId="0" borderId="1" xfId="0" applyNumberFormat="1" applyFont="1" applyBorder="1" applyAlignment="1" applyProtection="1">
      <alignment/>
      <protection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4" fontId="22" fillId="5" borderId="1" xfId="0" applyNumberFormat="1" applyFont="1" applyFill="1" applyBorder="1" applyAlignment="1" applyProtection="1">
      <alignment horizontal="right"/>
      <protection locked="0"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5" fontId="8" fillId="5" borderId="1" xfId="20" applyNumberFormat="1" applyFont="1" applyFill="1" applyBorder="1" applyProtection="1">
      <alignment/>
      <protection/>
    </xf>
    <xf numFmtId="174" fontId="7" fillId="5" borderId="1" xfId="20" applyNumberFormat="1" applyFont="1" applyFill="1" applyBorder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0" fontId="4" fillId="0" borderId="13" xfId="20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13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3" xfId="22" applyNumberFormat="1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13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3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9" fontId="7" fillId="0" borderId="13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3" xfId="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13" xfId="20" applyNumberFormat="1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3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3" xfId="20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3" xfId="20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3" xfId="22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9"/>
      <sheetName val="депозит"/>
      <sheetName val="залишки  (2)"/>
      <sheetName val="надх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жовтень"/>
      <sheetName val="листопад"/>
      <sheetName val="грудень"/>
    </sheetNames>
    <sheetDataSet>
      <sheetData sheetId="12">
        <row r="8">
          <cell r="G8">
            <v>0</v>
          </cell>
        </row>
        <row r="9">
          <cell r="G9">
            <v>13829857.96</v>
          </cell>
        </row>
      </sheetData>
      <sheetData sheetId="13">
        <row r="52">
          <cell r="B52">
            <v>15526223.119999992</v>
          </cell>
        </row>
      </sheetData>
      <sheetData sheetId="20">
        <row r="28">
          <cell r="C28">
            <v>4870376.3</v>
          </cell>
        </row>
      </sheetData>
      <sheetData sheetId="21">
        <row r="28">
          <cell r="C28">
            <v>3219411</v>
          </cell>
        </row>
      </sheetData>
      <sheetData sheetId="22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49" sqref="G149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207" t="s">
        <v>274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126"/>
      <c r="R1" s="127"/>
    </row>
    <row r="2" spans="2:18" s="1" customFormat="1" ht="15.75" customHeight="1">
      <c r="B2" s="208"/>
      <c r="C2" s="208"/>
      <c r="D2" s="208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209"/>
      <c r="B3" s="211"/>
      <c r="C3" s="176" t="s">
        <v>0</v>
      </c>
      <c r="D3" s="177" t="s">
        <v>224</v>
      </c>
      <c r="E3" s="177"/>
      <c r="F3" s="178" t="s">
        <v>107</v>
      </c>
      <c r="G3" s="179"/>
      <c r="H3" s="179"/>
      <c r="I3" s="179"/>
      <c r="J3" s="179"/>
      <c r="K3" s="179"/>
      <c r="L3" s="180"/>
      <c r="M3" s="175" t="s">
        <v>225</v>
      </c>
      <c r="N3" s="213" t="s">
        <v>272</v>
      </c>
      <c r="O3" s="213"/>
      <c r="P3" s="213"/>
      <c r="Q3" s="213"/>
      <c r="R3" s="213"/>
    </row>
    <row r="4" spans="1:18" ht="22.5" customHeight="1">
      <c r="A4" s="209"/>
      <c r="B4" s="211"/>
      <c r="C4" s="176"/>
      <c r="D4" s="177"/>
      <c r="E4" s="177"/>
      <c r="F4" s="214" t="s">
        <v>116</v>
      </c>
      <c r="G4" s="201" t="s">
        <v>269</v>
      </c>
      <c r="H4" s="203" t="s">
        <v>270</v>
      </c>
      <c r="I4" s="199" t="s">
        <v>188</v>
      </c>
      <c r="J4" s="205" t="s">
        <v>189</v>
      </c>
      <c r="K4" s="192" t="s">
        <v>264</v>
      </c>
      <c r="L4" s="193"/>
      <c r="M4" s="212"/>
      <c r="N4" s="197" t="s">
        <v>275</v>
      </c>
      <c r="O4" s="199" t="s">
        <v>136</v>
      </c>
      <c r="P4" s="199" t="s">
        <v>135</v>
      </c>
      <c r="Q4" s="192" t="s">
        <v>265</v>
      </c>
      <c r="R4" s="193"/>
    </row>
    <row r="5" spans="1:18" ht="82.5" customHeight="1">
      <c r="A5" s="210"/>
      <c r="B5" s="211"/>
      <c r="C5" s="176"/>
      <c r="D5" s="150" t="s">
        <v>209</v>
      </c>
      <c r="E5" s="158" t="s">
        <v>268</v>
      </c>
      <c r="F5" s="215"/>
      <c r="G5" s="202"/>
      <c r="H5" s="204"/>
      <c r="I5" s="200"/>
      <c r="J5" s="206"/>
      <c r="K5" s="194"/>
      <c r="L5" s="195"/>
      <c r="M5" s="151" t="s">
        <v>271</v>
      </c>
      <c r="N5" s="198"/>
      <c r="O5" s="200"/>
      <c r="P5" s="200"/>
      <c r="Q5" s="194"/>
      <c r="R5" s="195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351358.79999999993</v>
      </c>
      <c r="F8" s="22">
        <f>F10+F19+F33+F56+F68+F30</f>
        <v>310870.43</v>
      </c>
      <c r="G8" s="22">
        <f aca="true" t="shared" si="0" ref="G8:G30">F8-E8</f>
        <v>-40488.36999999994</v>
      </c>
      <c r="H8" s="51">
        <f>F8/E8*100</f>
        <v>88.47663129541655</v>
      </c>
      <c r="I8" s="36">
        <f aca="true" t="shared" si="1" ref="I8:I17">F8-D8</f>
        <v>-177605.87</v>
      </c>
      <c r="J8" s="36">
        <f aca="true" t="shared" si="2" ref="J8:J14">F8/D8*100</f>
        <v>63.64084194054042</v>
      </c>
      <c r="K8" s="36">
        <f>F8-306776.9</f>
        <v>4093.5299999999697</v>
      </c>
      <c r="L8" s="136">
        <f>F8/306776.9</f>
        <v>1.0133436709217676</v>
      </c>
      <c r="M8" s="22">
        <f>M10+M19+M33+M56+M68+M30</f>
        <v>39345.409999999996</v>
      </c>
      <c r="N8" s="22">
        <f>N10+N19+N33+N56+N68+N30</f>
        <v>1934.6600000000162</v>
      </c>
      <c r="O8" s="36">
        <f aca="true" t="shared" si="3" ref="O8:O71">N8-M8</f>
        <v>-37410.74999999998</v>
      </c>
      <c r="P8" s="36">
        <f>F8/M8*100</f>
        <v>790.1059615340138</v>
      </c>
      <c r="Q8" s="36">
        <f>N8-38892.4</f>
        <v>-36957.73999999998</v>
      </c>
      <c r="R8" s="134">
        <f>N8/38892.4</f>
        <v>0.04974390883565982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251948.63</v>
      </c>
      <c r="G9" s="22">
        <f t="shared" si="0"/>
        <v>251948.63</v>
      </c>
      <c r="H9" s="20"/>
      <c r="I9" s="56">
        <f t="shared" si="1"/>
        <v>-135064.57</v>
      </c>
      <c r="J9" s="56">
        <f t="shared" si="2"/>
        <v>65.10078467607823</v>
      </c>
      <c r="K9" s="56"/>
      <c r="L9" s="135"/>
      <c r="M9" s="20">
        <f>M10+M17</f>
        <v>32323.5</v>
      </c>
      <c r="N9" s="20">
        <f>N10+N17</f>
        <v>1670.2000000000116</v>
      </c>
      <c r="O9" s="36">
        <f t="shared" si="3"/>
        <v>-30653.29999999999</v>
      </c>
      <c r="P9" s="56">
        <f>F9/M9*100</f>
        <v>779.4596191625288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287459.5</v>
      </c>
      <c r="F10" s="169">
        <v>251948.63</v>
      </c>
      <c r="G10" s="49">
        <f t="shared" si="0"/>
        <v>-35510.869999999995</v>
      </c>
      <c r="H10" s="40">
        <f aca="true" t="shared" si="4" ref="H10:H17">F10/E10*100</f>
        <v>87.64665283283385</v>
      </c>
      <c r="I10" s="56">
        <f t="shared" si="1"/>
        <v>-135064.57</v>
      </c>
      <c r="J10" s="56">
        <f t="shared" si="2"/>
        <v>65.10078467607823</v>
      </c>
      <c r="K10" s="141">
        <f>F10-242707.3</f>
        <v>9241.330000000016</v>
      </c>
      <c r="L10" s="142">
        <f>F10/242707.3</f>
        <v>1.0380760282035193</v>
      </c>
      <c r="M10" s="40">
        <f>E10-серпень!E10</f>
        <v>32323.5</v>
      </c>
      <c r="N10" s="40">
        <f>F10-серпень!F10</f>
        <v>1670.2000000000116</v>
      </c>
      <c r="O10" s="53">
        <f t="shared" si="3"/>
        <v>-30653.29999999999</v>
      </c>
      <c r="P10" s="56">
        <f aca="true" t="shared" si="5" ref="P10:P17">N10/M10*100</f>
        <v>5.167138459634668</v>
      </c>
      <c r="Q10" s="141">
        <f>N10-31381.5</f>
        <v>-29711.29999999999</v>
      </c>
      <c r="R10" s="142">
        <f>N10/31381.5</f>
        <v>0.05322243997259569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E11-серпень!E11</f>
        <v>0</v>
      </c>
      <c r="N11" s="40">
        <f>F11-серпень!F11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E12-серпень!E12</f>
        <v>0</v>
      </c>
      <c r="N12" s="40">
        <f>F12-серпень!F12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E13-серпень!E13</f>
        <v>0</v>
      </c>
      <c r="N13" s="40">
        <f>F13-серпень!F13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E14-серпень!E14</f>
        <v>0</v>
      </c>
      <c r="N14" s="40">
        <f>F14-серпень!F14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E15-серпень!E15</f>
        <v>0</v>
      </c>
      <c r="N15" s="40">
        <f>F15-серпень!F15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E16-серпень!E16</f>
        <v>0</v>
      </c>
      <c r="N16" s="40">
        <f>F16-серпень!F16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E17-серпень!E17</f>
        <v>0</v>
      </c>
      <c r="N17" s="40">
        <f>F17-серпень!F17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E18-серпень!E18</f>
        <v>0</v>
      </c>
      <c r="N18" s="40">
        <f>F18-серпень!F18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1056.6</v>
      </c>
      <c r="F19" s="169">
        <v>72.71</v>
      </c>
      <c r="G19" s="49">
        <f t="shared" si="0"/>
        <v>-983.8899999999999</v>
      </c>
      <c r="H19" s="40">
        <f aca="true" t="shared" si="6" ref="H19:H29">F19/E19*100</f>
        <v>6.881506719666857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F19-6117.2</f>
        <v>-6044.49</v>
      </c>
      <c r="L19" s="168">
        <f>F19/6117.2</f>
        <v>0.011886157065324005</v>
      </c>
      <c r="M19" s="40">
        <f>E19-серпень!E19</f>
        <v>11</v>
      </c>
      <c r="N19" s="40">
        <f>F19-серпень!F19</f>
        <v>0</v>
      </c>
      <c r="O19" s="53">
        <f t="shared" si="3"/>
        <v>-11</v>
      </c>
      <c r="P19" s="56">
        <f aca="true" t="shared" si="9" ref="P19:P29">N19/M19*100</f>
        <v>0</v>
      </c>
      <c r="Q19" s="56">
        <f>N19-74.4</f>
        <v>-74.4</v>
      </c>
      <c r="R19" s="135">
        <f>N19/74.4</f>
        <v>0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E20-серпень!E20</f>
        <v>0</v>
      </c>
      <c r="N20" s="40">
        <f>F20-серпень!F20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E21-серпень!E21</f>
        <v>0</v>
      </c>
      <c r="N21" s="40">
        <f>F21-серпень!F21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E22-серпень!E22</f>
        <v>0</v>
      </c>
      <c r="N22" s="40">
        <f>F22-серпень!F22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E23-серпень!E23</f>
        <v>0</v>
      </c>
      <c r="N23" s="40">
        <f>F23-серпень!F23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E24-серпень!E24</f>
        <v>0</v>
      </c>
      <c r="N24" s="40">
        <f>F24-серпень!F24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E25-серпень!E25</f>
        <v>0</v>
      </c>
      <c r="N25" s="40">
        <f>F25-серпень!F25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E26-серпень!E26</f>
        <v>0</v>
      </c>
      <c r="N26" s="40">
        <f>F26-серпень!F26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E27-серпень!E27</f>
        <v>0</v>
      </c>
      <c r="N27" s="40">
        <f>F27-серпень!F27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E28-серпень!E28</f>
        <v>0</v>
      </c>
      <c r="N28" s="40">
        <f>F28-серпень!F28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796.6</v>
      </c>
      <c r="F29" s="170">
        <v>573.12</v>
      </c>
      <c r="G29" s="49">
        <f t="shared" si="0"/>
        <v>-223.48000000000002</v>
      </c>
      <c r="H29" s="40">
        <f t="shared" si="6"/>
        <v>71.94576952046197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E29-серпень!E29</f>
        <v>11</v>
      </c>
      <c r="N29" s="40">
        <f>F29-серпень!F29</f>
        <v>0</v>
      </c>
      <c r="O29" s="148">
        <f t="shared" si="3"/>
        <v>-11</v>
      </c>
      <c r="P29" s="145">
        <f t="shared" si="9"/>
        <v>0</v>
      </c>
      <c r="Q29" s="148">
        <f>N29-74.37</f>
        <v>-74.37</v>
      </c>
      <c r="R29" s="149">
        <f>N29/74.37</f>
        <v>0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E30-серпень!E30</f>
        <v>0</v>
      </c>
      <c r="N30" s="40">
        <f>F30-серпень!F30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E31-серпень!E31</f>
        <v>0</v>
      </c>
      <c r="N31" s="40">
        <f>F31-серпень!F31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E32-серпень!E32</f>
        <v>0</v>
      </c>
      <c r="N32" s="40">
        <f>F32-серпень!F32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57702.1</v>
      </c>
      <c r="F33" s="169">
        <v>54521.94</v>
      </c>
      <c r="G33" s="49">
        <f aca="true" t="shared" si="14" ref="G33:G72">F33-E33</f>
        <v>-3180.159999999996</v>
      </c>
      <c r="H33" s="40">
        <f aca="true" t="shared" si="15" ref="H33:H67">F33/E33*100</f>
        <v>94.48865812509423</v>
      </c>
      <c r="I33" s="56">
        <f>F33-D33</f>
        <v>-39044.06</v>
      </c>
      <c r="J33" s="56">
        <f aca="true" t="shared" si="16" ref="J33:J72">F33/D33*100</f>
        <v>58.27110275099929</v>
      </c>
      <c r="K33" s="141">
        <f>F33-53788.3</f>
        <v>733.6399999999994</v>
      </c>
      <c r="L33" s="142">
        <f>F33/53788.3</f>
        <v>1.013639397415423</v>
      </c>
      <c r="M33" s="40">
        <f>E33-серпень!E33</f>
        <v>6401.309999999998</v>
      </c>
      <c r="N33" s="40">
        <f>F33-серпень!F33</f>
        <v>229.20000000000437</v>
      </c>
      <c r="O33" s="53">
        <f t="shared" si="3"/>
        <v>-6172.109999999993</v>
      </c>
      <c r="P33" s="56">
        <f aca="true" t="shared" si="17" ref="P33:P67">N33/M33*100</f>
        <v>3.5805171129035225</v>
      </c>
      <c r="Q33" s="141">
        <f>N33-6951.4</f>
        <v>-6722.199999999995</v>
      </c>
      <c r="R33" s="142">
        <f>N33/6951.4</f>
        <v>0.03297177546969019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E34-серпень!E34</f>
        <v>0</v>
      </c>
      <c r="N34" s="40">
        <f>F34-серпень!F34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E35-серпень!E35</f>
        <v>0</v>
      </c>
      <c r="N35" s="40">
        <f>F35-серпень!F35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E36-серпень!E36</f>
        <v>0</v>
      </c>
      <c r="N36" s="40">
        <f>F36-серпень!F36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E37-серпень!E37</f>
        <v>0</v>
      </c>
      <c r="N37" s="40">
        <f>F37-серпень!F37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E38-серпень!E38</f>
        <v>0</v>
      </c>
      <c r="N38" s="40">
        <f>F38-серпень!F38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E39-серпень!E39</f>
        <v>0</v>
      </c>
      <c r="N39" s="40">
        <f>F39-серпень!F39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E40-серпень!E40</f>
        <v>0</v>
      </c>
      <c r="N40" s="40">
        <f>F40-серпень!F40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E41-серпень!E41</f>
        <v>0</v>
      </c>
      <c r="N41" s="40">
        <f>F41-серпень!F41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E42-серпень!E42</f>
        <v>0</v>
      </c>
      <c r="N42" s="40">
        <f>F42-серпень!F42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E43-серпень!E43</f>
        <v>0</v>
      </c>
      <c r="N43" s="40">
        <f>F43-серпень!F43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E44-серпень!E44</f>
        <v>0</v>
      </c>
      <c r="N44" s="40">
        <f>F44-серпень!F44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E45-серпень!E45</f>
        <v>0</v>
      </c>
      <c r="N45" s="40">
        <f>F45-серпень!F45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E46-серпень!E46</f>
        <v>0</v>
      </c>
      <c r="N46" s="40">
        <f>F46-серпень!F46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E47-серпень!E47</f>
        <v>0</v>
      </c>
      <c r="N47" s="40">
        <f>F47-серпень!F47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E48-серпень!E48</f>
        <v>0</v>
      </c>
      <c r="N48" s="40">
        <f>F48-серпень!F48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E49-серпень!E49</f>
        <v>0</v>
      </c>
      <c r="N49" s="40">
        <f>F49-серпень!F49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E50-серпень!E50</f>
        <v>0</v>
      </c>
      <c r="N50" s="40">
        <f>F50-серпень!F50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E51-серпень!E51</f>
        <v>0</v>
      </c>
      <c r="N51" s="40">
        <f>F51-серпень!F51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E52-серпень!E52</f>
        <v>0</v>
      </c>
      <c r="N52" s="40">
        <f>F52-серпень!F52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E53-серпень!E53</f>
        <v>0</v>
      </c>
      <c r="N53" s="40">
        <f>F53-серпень!F53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E54-серпень!E54</f>
        <v>0</v>
      </c>
      <c r="N54" s="40">
        <f>F54-серпень!F54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42471.84</v>
      </c>
      <c r="F55" s="170">
        <v>40349.48</v>
      </c>
      <c r="G55" s="144">
        <f t="shared" si="14"/>
        <v>-2122.3599999999933</v>
      </c>
      <c r="H55" s="146">
        <f t="shared" si="15"/>
        <v>95.00290074552929</v>
      </c>
      <c r="I55" s="145">
        <f t="shared" si="18"/>
        <v>-29916.519999999997</v>
      </c>
      <c r="J55" s="145">
        <f t="shared" si="16"/>
        <v>57.42390345259443</v>
      </c>
      <c r="K55" s="148">
        <f>F55-38852.08</f>
        <v>1497.4000000000015</v>
      </c>
      <c r="L55" s="149">
        <f>F55/38852.08</f>
        <v>1.038541051084009</v>
      </c>
      <c r="M55" s="40">
        <f>E55-серпень!E55</f>
        <v>4681.3499999999985</v>
      </c>
      <c r="N55" s="40">
        <f>F55-серпень!F55</f>
        <v>209.2100000000064</v>
      </c>
      <c r="O55" s="148">
        <f t="shared" si="3"/>
        <v>-4472.139999999992</v>
      </c>
      <c r="P55" s="148">
        <f t="shared" si="17"/>
        <v>4.469010007797034</v>
      </c>
      <c r="Q55" s="160">
        <f>N55-5157.94</f>
        <v>-4948.729999999993</v>
      </c>
      <c r="R55" s="161">
        <f>N55/5157.94</f>
        <v>0.040560766507560464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5113.5</v>
      </c>
      <c r="F56" s="169">
        <f>1.51+4321.04</f>
        <v>4322.55</v>
      </c>
      <c r="G56" s="49">
        <f t="shared" si="14"/>
        <v>-790.9499999999998</v>
      </c>
      <c r="H56" s="40">
        <f t="shared" si="15"/>
        <v>84.53212085655618</v>
      </c>
      <c r="I56" s="56">
        <f t="shared" si="18"/>
        <v>-2537.45</v>
      </c>
      <c r="J56" s="56">
        <f t="shared" si="16"/>
        <v>63.01093294460641</v>
      </c>
      <c r="K56" s="56">
        <f>F56-4138.3</f>
        <v>184.25</v>
      </c>
      <c r="L56" s="135">
        <f>F56/4138.3</f>
        <v>1.0445231133557258</v>
      </c>
      <c r="M56" s="40">
        <f>E56-серпень!E56</f>
        <v>609.6000000000004</v>
      </c>
      <c r="N56" s="40">
        <f>F56-серпень!F56</f>
        <v>35.26000000000022</v>
      </c>
      <c r="O56" s="53">
        <f t="shared" si="3"/>
        <v>-574.3400000000001</v>
      </c>
      <c r="P56" s="56">
        <f t="shared" si="17"/>
        <v>5.784120734908169</v>
      </c>
      <c r="Q56" s="56">
        <f>N56-484.9</f>
        <v>-449.63999999999976</v>
      </c>
      <c r="R56" s="135">
        <f>N56/484.9</f>
        <v>0.0727160239224587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E57-серпень!E57</f>
        <v>0</v>
      </c>
      <c r="N57" s="40">
        <f>F57-серпень!F57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E58-серпень!E58</f>
        <v>0</v>
      </c>
      <c r="N58" s="40">
        <f>F58-серпень!F58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E59-серпень!E59</f>
        <v>0</v>
      </c>
      <c r="N59" s="40">
        <f>F59-серпень!F59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E60-серпень!E60</f>
        <v>0</v>
      </c>
      <c r="N60" s="40">
        <f>F60-серпень!F60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E61-серпень!E61</f>
        <v>0</v>
      </c>
      <c r="N61" s="40">
        <f>F61-серпень!F61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E62-серпень!E62</f>
        <v>0</v>
      </c>
      <c r="N62" s="40">
        <f>F62-серпень!F62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E63-серпень!E63</f>
        <v>0</v>
      </c>
      <c r="N63" s="40">
        <f>F63-серпень!F63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E64-серпень!E64</f>
        <v>0</v>
      </c>
      <c r="N64" s="40">
        <f>F64-серпень!F64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E65-серпень!E65</f>
        <v>0</v>
      </c>
      <c r="N65" s="40">
        <f>F65-серпень!F65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E66-серпень!E66</f>
        <v>0</v>
      </c>
      <c r="N66" s="40">
        <f>F66-серпень!F66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E67-серпень!E67</f>
        <v>0</v>
      </c>
      <c r="N67" s="40">
        <f>F67-серпень!F67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E68-серпень!E68</f>
        <v>0</v>
      </c>
      <c r="N68" s="40">
        <f>F68-серпень!F68</f>
        <v>0</v>
      </c>
      <c r="O68" s="53">
        <f t="shared" si="3"/>
        <v>0</v>
      </c>
      <c r="P68" s="56"/>
      <c r="Q68" s="56">
        <f>N68-0.3</f>
        <v>-0.3</v>
      </c>
      <c r="R68" s="135">
        <f>N68/0.3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12180</v>
      </c>
      <c r="F74" s="22">
        <f>F77+F86+F88+F89+F94+F95+F96+F97+F99+F104+F87+F103</f>
        <v>9262.36</v>
      </c>
      <c r="G74" s="50">
        <f aca="true" t="shared" si="24" ref="G74:G92">F74-E74</f>
        <v>-2917.6399999999994</v>
      </c>
      <c r="H74" s="51">
        <f aca="true" t="shared" si="25" ref="H74:H87">F74/E74*100</f>
        <v>76.0456486042693</v>
      </c>
      <c r="I74" s="36">
        <f aca="true" t="shared" si="26" ref="I74:I92">F74-D74</f>
        <v>-9095.939999999999</v>
      </c>
      <c r="J74" s="36">
        <f aca="true" t="shared" si="27" ref="J74:J92">F74/D74*100</f>
        <v>50.45325547572488</v>
      </c>
      <c r="K74" s="36">
        <f>F74-12962.5</f>
        <v>-3700.1399999999994</v>
      </c>
      <c r="L74" s="136">
        <f>F74/12962.5</f>
        <v>0.7145504339440695</v>
      </c>
      <c r="M74" s="22">
        <f>M77+M86+M88+M89+M94+M95+M96+M97+M99+M87+M104</f>
        <v>1580.5</v>
      </c>
      <c r="N74" s="22">
        <f>N77+N86+N88+N89+N94+N95+N96+N97+N99+N32+N104+N87+N103</f>
        <v>652.63</v>
      </c>
      <c r="O74" s="55">
        <f aca="true" t="shared" si="28" ref="O74:O92">N74-M74</f>
        <v>-927.87</v>
      </c>
      <c r="P74" s="36">
        <f>N74/M74*100</f>
        <v>41.29262891490035</v>
      </c>
      <c r="Q74" s="36">
        <f>N74-1702.6</f>
        <v>-1049.9699999999998</v>
      </c>
      <c r="R74" s="136">
        <f>N74/1702.6</f>
        <v>0.3833137554328674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E77-серпень!E77</f>
        <v>0</v>
      </c>
      <c r="N77" s="40">
        <f>F77-серпень!F77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N77-46.4</f>
        <v>-46.4</v>
      </c>
      <c r="R77" s="135">
        <f>N77/46.4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E78-серпень!E78</f>
        <v>0</v>
      </c>
      <c r="N78" s="40">
        <f>F78-серпень!F78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E79-серпень!E79</f>
        <v>0</v>
      </c>
      <c r="N79" s="40">
        <f>F79-серпень!F79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E80-серпень!E80</f>
        <v>0</v>
      </c>
      <c r="N80" s="40">
        <f>F80-серпень!F80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E81-серпень!E81</f>
        <v>0</v>
      </c>
      <c r="N81" s="40">
        <f>F81-серпень!F81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E82-серпень!E82</f>
        <v>0</v>
      </c>
      <c r="N82" s="40">
        <f>F82-серпень!F82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E83-серпень!E83</f>
        <v>0</v>
      </c>
      <c r="N83" s="40">
        <f>F83-серпень!F83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E84-серпень!E84</f>
        <v>0</v>
      </c>
      <c r="N84" s="40">
        <f>F84-серпень!F84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E85-серпень!E85</f>
        <v>0</v>
      </c>
      <c r="N85" s="40">
        <f>F85-серпень!F85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2600</v>
      </c>
      <c r="F86" s="169">
        <v>0</v>
      </c>
      <c r="G86" s="49">
        <f t="shared" si="24"/>
        <v>-2600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F86-2152</f>
        <v>-2152</v>
      </c>
      <c r="L86" s="168">
        <f>F86/2152</f>
        <v>0</v>
      </c>
      <c r="M86" s="40">
        <f>E86-серпень!E86</f>
        <v>480</v>
      </c>
      <c r="N86" s="40">
        <f>F86-серпень!F86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E87-серпень!E87</f>
        <v>0</v>
      </c>
      <c r="N87" s="40">
        <f>F87-серпень!F87</f>
        <v>0</v>
      </c>
      <c r="O87" s="53">
        <f t="shared" si="28"/>
        <v>0</v>
      </c>
      <c r="P87" s="56" t="e">
        <f t="shared" si="29"/>
        <v>#DIV/0!</v>
      </c>
      <c r="Q87" s="56">
        <f>N87-8.3</f>
        <v>-8.3</v>
      </c>
      <c r="R87" s="135">
        <f>N87/8.3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3.5</v>
      </c>
      <c r="F88" s="169">
        <v>5.6</v>
      </c>
      <c r="G88" s="49">
        <f t="shared" si="24"/>
        <v>2.0999999999999996</v>
      </c>
      <c r="H88" s="40">
        <f>F88/E88*100</f>
        <v>160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E88-серпень!E88</f>
        <v>0.5</v>
      </c>
      <c r="N88" s="40">
        <f>F88-серпень!F88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129</v>
      </c>
      <c r="F89" s="169">
        <v>82.7</v>
      </c>
      <c r="G89" s="49">
        <f t="shared" si="24"/>
        <v>-46.3</v>
      </c>
      <c r="H89" s="40">
        <f>F89/E89*100</f>
        <v>64.10852713178295</v>
      </c>
      <c r="I89" s="56">
        <f t="shared" si="26"/>
        <v>-92.3</v>
      </c>
      <c r="J89" s="56">
        <f t="shared" si="27"/>
        <v>47.25714285714286</v>
      </c>
      <c r="K89" s="56">
        <f>F89-108.5</f>
        <v>-25.799999999999997</v>
      </c>
      <c r="L89" s="135">
        <f>F89/108.5</f>
        <v>0.7622119815668204</v>
      </c>
      <c r="M89" s="40">
        <f>E89-серпень!E89</f>
        <v>15</v>
      </c>
      <c r="N89" s="40">
        <f>F89-серпень!F89</f>
        <v>0.3400000000000034</v>
      </c>
      <c r="O89" s="53">
        <f t="shared" si="28"/>
        <v>-14.659999999999997</v>
      </c>
      <c r="P89" s="56">
        <f>N89/M89*100</f>
        <v>2.2666666666666893</v>
      </c>
      <c r="Q89" s="56">
        <f>N89-14.5</f>
        <v>-14.159999999999997</v>
      </c>
      <c r="R89" s="135">
        <f>N89/14.5</f>
        <v>0.023448275862069202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E90-серпень!E90</f>
        <v>0</v>
      </c>
      <c r="N90" s="40">
        <f>F90-серпень!F90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E91-серпень!E91</f>
        <v>0</v>
      </c>
      <c r="N91" s="40">
        <f>F91-серпень!F91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E92-серпень!E92</f>
        <v>0</v>
      </c>
      <c r="N92" s="40">
        <f>F92-серпень!F92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E93-серпень!E93</f>
        <v>0</v>
      </c>
      <c r="N93" s="40">
        <f>F93-серпень!F93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E94-серпень!E94</f>
        <v>0</v>
      </c>
      <c r="N94" s="40">
        <f>F94-серпень!F94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5256.5</v>
      </c>
      <c r="F95" s="169">
        <v>5365.38</v>
      </c>
      <c r="G95" s="49">
        <f t="shared" si="31"/>
        <v>108.88000000000011</v>
      </c>
      <c r="H95" s="40">
        <f>F95/E95*100</f>
        <v>102.07134024541045</v>
      </c>
      <c r="I95" s="56">
        <f t="shared" si="32"/>
        <v>-1634.62</v>
      </c>
      <c r="J95" s="56">
        <f>F95/D95*100</f>
        <v>76.64828571428572</v>
      </c>
      <c r="K95" s="56">
        <f>F95-4948.3</f>
        <v>417.0799999999999</v>
      </c>
      <c r="L95" s="135">
        <f>F95/4948.3</f>
        <v>1.084287533092173</v>
      </c>
      <c r="M95" s="40">
        <f>E95-серпень!E95</f>
        <v>575</v>
      </c>
      <c r="N95" s="40">
        <f>F95-серпень!F95</f>
        <v>629.6999999999998</v>
      </c>
      <c r="O95" s="53">
        <f t="shared" si="33"/>
        <v>54.69999999999982</v>
      </c>
      <c r="P95" s="56">
        <f>N95/M95*100</f>
        <v>109.51304347826083</v>
      </c>
      <c r="Q95" s="56">
        <f>N95-696.9</f>
        <v>-67.20000000000016</v>
      </c>
      <c r="R95" s="135">
        <f>N95/696.9</f>
        <v>0.9035729659922511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794.5</v>
      </c>
      <c r="F96" s="169">
        <v>696.64</v>
      </c>
      <c r="G96" s="49">
        <f t="shared" si="31"/>
        <v>-97.86000000000001</v>
      </c>
      <c r="H96" s="40">
        <f>F96/E96*100</f>
        <v>87.68281938325991</v>
      </c>
      <c r="I96" s="56">
        <f t="shared" si="32"/>
        <v>-503.36</v>
      </c>
      <c r="J96" s="56">
        <f>F96/D96*100</f>
        <v>58.053333333333335</v>
      </c>
      <c r="K96" s="56">
        <f>F96-693.4</f>
        <v>3.240000000000009</v>
      </c>
      <c r="L96" s="135">
        <f>F96/693.4</f>
        <v>1.0046726276319584</v>
      </c>
      <c r="M96" s="40">
        <f>E96-серпень!E96</f>
        <v>100</v>
      </c>
      <c r="N96" s="40">
        <f>F96-серпень!F96</f>
        <v>10.980000000000018</v>
      </c>
      <c r="O96" s="53">
        <f t="shared" si="33"/>
        <v>-89.01999999999998</v>
      </c>
      <c r="P96" s="56">
        <f>N96/M96*100</f>
        <v>10.980000000000018</v>
      </c>
      <c r="Q96" s="56">
        <f>N96-90.8</f>
        <v>-79.81999999999998</v>
      </c>
      <c r="R96" s="135">
        <f>N96/90.8</f>
        <v>0.1209251101321588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E97-серпень!E97</f>
        <v>0</v>
      </c>
      <c r="N97" s="40">
        <f>F97-серпень!F97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E98-серпень!E98</f>
        <v>0</v>
      </c>
      <c r="N98" s="40">
        <f>F98-серпень!F98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3007</v>
      </c>
      <c r="F99" s="169">
        <v>2714.27</v>
      </c>
      <c r="G99" s="49">
        <f t="shared" si="31"/>
        <v>-292.73</v>
      </c>
      <c r="H99" s="40">
        <f>F99/E99*100</f>
        <v>90.26504822081809</v>
      </c>
      <c r="I99" s="56">
        <f t="shared" si="32"/>
        <v>-1858.4299999999998</v>
      </c>
      <c r="J99" s="56">
        <f>F99/D99*100</f>
        <v>59.35814726529184</v>
      </c>
      <c r="K99" s="56">
        <f>F99-2979.1</f>
        <v>-264.8299999999999</v>
      </c>
      <c r="L99" s="135">
        <f>F99/2979.1</f>
        <v>0.9111040247054479</v>
      </c>
      <c r="M99" s="40">
        <f>E99-серпень!E99</f>
        <v>410</v>
      </c>
      <c r="N99" s="40">
        <f>F99-серпень!F99</f>
        <v>11.610000000000127</v>
      </c>
      <c r="O99" s="53">
        <f t="shared" si="33"/>
        <v>-398.3899999999999</v>
      </c>
      <c r="P99" s="56">
        <f>N99/M99*100</f>
        <v>2.8317073170732017</v>
      </c>
      <c r="Q99" s="56">
        <f>N99-355.4</f>
        <v>-343.78999999999985</v>
      </c>
      <c r="R99" s="135">
        <f>N99/355.4</f>
        <v>0.032667416994935645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E100-серпень!E100</f>
        <v>0</v>
      </c>
      <c r="N100" s="40">
        <f>F100-серпень!F100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E101-серпень!E101</f>
        <v>0</v>
      </c>
      <c r="N101" s="40">
        <f>F101-серпень!F101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640.8</v>
      </c>
      <c r="G102" s="144"/>
      <c r="H102" s="146"/>
      <c r="I102" s="145"/>
      <c r="J102" s="145"/>
      <c r="K102" s="148">
        <f>F102-421.2</f>
        <v>219.59999999999997</v>
      </c>
      <c r="L102" s="149">
        <f>F102/421.2</f>
        <v>1.5213675213675213</v>
      </c>
      <c r="M102" s="40">
        <f>E102-серпень!E102</f>
        <v>0</v>
      </c>
      <c r="N102" s="40">
        <f>F102-серпень!F102</f>
        <v>4.7999999999999545</v>
      </c>
      <c r="O102" s="53"/>
      <c r="P102" s="60"/>
      <c r="Q102" s="60">
        <f>N102-95.6</f>
        <v>-90.80000000000004</v>
      </c>
      <c r="R102" s="138">
        <f>N102/95.6</f>
        <v>0.05020920502092003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E103-серпень!E103</f>
        <v>0</v>
      </c>
      <c r="N103" s="40">
        <f>F103-серпень!F103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E104-серпень!E104</f>
        <v>0</v>
      </c>
      <c r="N104" s="40">
        <f>F104-серпень!F104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24.2</v>
      </c>
      <c r="F105" s="169">
        <v>17.23</v>
      </c>
      <c r="G105" s="49">
        <f>F105-E105</f>
        <v>-6.969999999999999</v>
      </c>
      <c r="H105" s="40">
        <f>F105/E105*100</f>
        <v>71.19834710743802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E105-серпень!E105</f>
        <v>3</v>
      </c>
      <c r="N105" s="40">
        <f>F105-серпень!F105</f>
        <v>0</v>
      </c>
      <c r="O105" s="53">
        <f t="shared" si="35"/>
        <v>-3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E106-серпень!E106</f>
        <v>0</v>
      </c>
      <c r="N106" s="40">
        <f>F106-серпень!F106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363562.99999999994</v>
      </c>
      <c r="F107" s="22">
        <f>F8+F74+F105+F106</f>
        <v>320150.38999999996</v>
      </c>
      <c r="G107" s="50">
        <f>F107-E107</f>
        <v>-43412.609999999986</v>
      </c>
      <c r="H107" s="51">
        <f>F107/E107*100</f>
        <v>88.05912317810119</v>
      </c>
      <c r="I107" s="36">
        <f t="shared" si="34"/>
        <v>-186729.21000000002</v>
      </c>
      <c r="J107" s="36">
        <f t="shared" si="36"/>
        <v>63.16103271861798</v>
      </c>
      <c r="K107" s="36">
        <f>F107-319755.3</f>
        <v>395.0899999999674</v>
      </c>
      <c r="L107" s="136">
        <f>F107/319755.3</f>
        <v>1.0012356010987151</v>
      </c>
      <c r="M107" s="22">
        <f>M8+M74+M105+M106</f>
        <v>40928.909999999996</v>
      </c>
      <c r="N107" s="22">
        <f>N8+N74+N105+N106</f>
        <v>2587.2900000000163</v>
      </c>
      <c r="O107" s="55">
        <f t="shared" si="35"/>
        <v>-38341.61999999998</v>
      </c>
      <c r="P107" s="36">
        <f>N107/M107*100</f>
        <v>6.32142414738144</v>
      </c>
      <c r="Q107" s="36">
        <f>N107-40595</f>
        <v>-38007.709999999985</v>
      </c>
      <c r="R107" s="136">
        <f>N107/40595</f>
        <v>0.06373420371967031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288254</v>
      </c>
      <c r="F108" s="71">
        <f>F10-F18+F96</f>
        <v>252645.27000000002</v>
      </c>
      <c r="G108" s="71">
        <f>G10-G18+G96</f>
        <v>-35608.729999999996</v>
      </c>
      <c r="H108" s="72">
        <f>F108/E108*100</f>
        <v>87.64675251687748</v>
      </c>
      <c r="I108" s="52">
        <f t="shared" si="34"/>
        <v>-135567.93</v>
      </c>
      <c r="J108" s="52">
        <f t="shared" si="36"/>
        <v>65.07900040493215</v>
      </c>
      <c r="K108" s="52">
        <f>F108-243489.6</f>
        <v>9155.670000000013</v>
      </c>
      <c r="L108" s="137">
        <f>F108/243489.6</f>
        <v>1.0376018934689613</v>
      </c>
      <c r="M108" s="71">
        <f>M10-M18+M96</f>
        <v>32423.5</v>
      </c>
      <c r="N108" s="71">
        <f>N10-N18+N96</f>
        <v>1681.1800000000117</v>
      </c>
      <c r="O108" s="53">
        <f t="shared" si="35"/>
        <v>-30742.31999999999</v>
      </c>
      <c r="P108" s="52">
        <f>N108/M108*100</f>
        <v>5.185066387034132</v>
      </c>
      <c r="Q108" s="52">
        <f>N108-31472.4</f>
        <v>-29791.21999999999</v>
      </c>
      <c r="R108" s="137">
        <f>N108/31472.4</f>
        <v>0.05341759764110813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75308.99999999994</v>
      </c>
      <c r="F109" s="71">
        <f>F107-F108</f>
        <v>67505.11999999994</v>
      </c>
      <c r="G109" s="62">
        <f>F109-E109</f>
        <v>-7803.880000000005</v>
      </c>
      <c r="H109" s="72">
        <f>F109/E109*100</f>
        <v>89.63752008392089</v>
      </c>
      <c r="I109" s="52">
        <f t="shared" si="34"/>
        <v>-51161.28000000003</v>
      </c>
      <c r="J109" s="52">
        <f t="shared" si="36"/>
        <v>56.88646491340427</v>
      </c>
      <c r="K109" s="52">
        <f>F109-76265.7</f>
        <v>-8760.58000000006</v>
      </c>
      <c r="L109" s="137">
        <f>F109/76265.7</f>
        <v>0.8851307992977175</v>
      </c>
      <c r="M109" s="71">
        <f>M107-M108</f>
        <v>8505.409999999996</v>
      </c>
      <c r="N109" s="71">
        <f>N107-N108</f>
        <v>906.1100000000047</v>
      </c>
      <c r="O109" s="53">
        <f t="shared" si="35"/>
        <v>-7599.299999999992</v>
      </c>
      <c r="P109" s="52">
        <f>N109/M109*100</f>
        <v>10.653337111320972</v>
      </c>
      <c r="Q109" s="52">
        <f>N109-9122.6</f>
        <v>-8216.489999999996</v>
      </c>
      <c r="R109" s="137">
        <f>N109/9122.6</f>
        <v>0.09932585008659862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282884.1</v>
      </c>
      <c r="F110" s="71">
        <f>F108</f>
        <v>252645.27000000002</v>
      </c>
      <c r="G110" s="111">
        <f>F110-E110</f>
        <v>-30238.829999999958</v>
      </c>
      <c r="H110" s="72">
        <f>F110/E110*100</f>
        <v>89.31052328497785</v>
      </c>
      <c r="I110" s="81">
        <f t="shared" si="34"/>
        <v>-135567.93</v>
      </c>
      <c r="J110" s="52">
        <f t="shared" si="36"/>
        <v>65.07900040493215</v>
      </c>
      <c r="K110" s="52"/>
      <c r="L110" s="137"/>
      <c r="M110" s="72">
        <f>E110-серпень!E110</f>
        <v>32423.49999999997</v>
      </c>
      <c r="N110" s="71">
        <f>N108</f>
        <v>1681.1800000000117</v>
      </c>
      <c r="O110" s="63">
        <f t="shared" si="35"/>
        <v>-30742.31999999996</v>
      </c>
      <c r="P110" s="52">
        <f>N110/M110*100</f>
        <v>5.185066387034136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273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E114-серпень!E114</f>
        <v>0</v>
      </c>
      <c r="N114" s="40">
        <f>F114-серпень!F114</f>
        <v>0</v>
      </c>
      <c r="O114" s="53"/>
      <c r="P114" s="60"/>
      <c r="Q114" s="60">
        <f>N114-7.2</f>
        <v>-7.2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2679.6</v>
      </c>
      <c r="F115" s="172">
        <v>1011.05</v>
      </c>
      <c r="G115" s="49">
        <f t="shared" si="37"/>
        <v>-1668.55</v>
      </c>
      <c r="H115" s="40">
        <f aca="true" t="shared" si="39" ref="H115:H126">F115/E115*100</f>
        <v>37.731377817584715</v>
      </c>
      <c r="I115" s="60">
        <f t="shared" si="38"/>
        <v>-2660.45</v>
      </c>
      <c r="J115" s="60">
        <f aca="true" t="shared" si="40" ref="J115:J121">F115/D115*100</f>
        <v>27.53779109355849</v>
      </c>
      <c r="K115" s="60">
        <f>F115-2927.1</f>
        <v>-1916.05</v>
      </c>
      <c r="L115" s="138">
        <f>F115/2927.1</f>
        <v>0.34541013289604044</v>
      </c>
      <c r="M115" s="40">
        <f>E115-серпень!E115</f>
        <v>327.5</v>
      </c>
      <c r="N115" s="40">
        <f>F115-серпень!F115</f>
        <v>25.529999999999973</v>
      </c>
      <c r="O115" s="53">
        <f aca="true" t="shared" si="41" ref="O115:O126">N115-M115</f>
        <v>-301.97</v>
      </c>
      <c r="P115" s="60">
        <f>N115/M115*100</f>
        <v>7.795419847328236</v>
      </c>
      <c r="Q115" s="60">
        <f>N115-728.3</f>
        <v>-702.77</v>
      </c>
      <c r="R115" s="138">
        <f>N115/728.3</f>
        <v>0.035054235891802794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200.5</v>
      </c>
      <c r="F116" s="172">
        <v>212.68</v>
      </c>
      <c r="G116" s="49">
        <f t="shared" si="37"/>
        <v>12.180000000000007</v>
      </c>
      <c r="H116" s="40">
        <f t="shared" si="39"/>
        <v>106.07481296758105</v>
      </c>
      <c r="I116" s="60">
        <f t="shared" si="38"/>
        <v>-55.420000000000016</v>
      </c>
      <c r="J116" s="60">
        <f t="shared" si="40"/>
        <v>79.32860872808654</v>
      </c>
      <c r="K116" s="60">
        <f>F116-175.7</f>
        <v>36.98000000000002</v>
      </c>
      <c r="L116" s="138">
        <f>F116/175.7</f>
        <v>1.2104723961297668</v>
      </c>
      <c r="M116" s="40">
        <f>E116-серпень!E116</f>
        <v>22</v>
      </c>
      <c r="N116" s="40">
        <f>F116-серпень!F116</f>
        <v>5.360000000000014</v>
      </c>
      <c r="O116" s="53">
        <f t="shared" si="41"/>
        <v>-16.639999999999986</v>
      </c>
      <c r="P116" s="60">
        <f>N116/M116*100</f>
        <v>24.363636363636427</v>
      </c>
      <c r="Q116" s="60">
        <f>N116-21.9</f>
        <v>-16.539999999999985</v>
      </c>
      <c r="R116" s="138">
        <f>N116/21.9</f>
        <v>0.24474885844748923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2880.1</v>
      </c>
      <c r="F117" s="173">
        <f>SUM(F114:F116)</f>
        <v>1222.77</v>
      </c>
      <c r="G117" s="62">
        <f t="shared" si="37"/>
        <v>-1657.33</v>
      </c>
      <c r="H117" s="72">
        <f t="shared" si="39"/>
        <v>42.45581750633659</v>
      </c>
      <c r="I117" s="61">
        <f t="shared" si="38"/>
        <v>-2716.83</v>
      </c>
      <c r="J117" s="61">
        <f t="shared" si="40"/>
        <v>31.037922631739264</v>
      </c>
      <c r="K117" s="61">
        <f>F117-3123.4</f>
        <v>-1900.63</v>
      </c>
      <c r="L117" s="139">
        <f>F117/3123.4</f>
        <v>0.3914868412627265</v>
      </c>
      <c r="M117" s="62">
        <f>M115+M116+M114</f>
        <v>349.5</v>
      </c>
      <c r="N117" s="38">
        <f>SUM(N114:N116)</f>
        <v>30.889999999999986</v>
      </c>
      <c r="O117" s="61">
        <f t="shared" si="41"/>
        <v>-318.61</v>
      </c>
      <c r="P117" s="61">
        <f>N117/M117*100</f>
        <v>8.838340486409152</v>
      </c>
      <c r="Q117" s="61">
        <f>N117-757.4</f>
        <v>-726.51</v>
      </c>
      <c r="R117" s="139">
        <f>N117/757.4</f>
        <v>0.0407842619487721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187.5</v>
      </c>
      <c r="F119" s="174">
        <v>289.85</v>
      </c>
      <c r="G119" s="49">
        <f t="shared" si="37"/>
        <v>102.35000000000002</v>
      </c>
      <c r="H119" s="40">
        <f t="shared" si="39"/>
        <v>154.58666666666667</v>
      </c>
      <c r="I119" s="60">
        <f t="shared" si="38"/>
        <v>22.650000000000034</v>
      </c>
      <c r="J119" s="60">
        <f t="shared" si="40"/>
        <v>108.47679640718565</v>
      </c>
      <c r="K119" s="60">
        <f>F119-173.1</f>
        <v>116.75000000000003</v>
      </c>
      <c r="L119" s="138">
        <f>F119/173.1</f>
        <v>1.674465626805315</v>
      </c>
      <c r="M119" s="40">
        <f>E119-серпень!E119</f>
        <v>5</v>
      </c>
      <c r="N119" s="40">
        <f>F119-серпень!F119</f>
        <v>1.0500000000000114</v>
      </c>
      <c r="O119" s="53">
        <f>N119-M119</f>
        <v>-3.9499999999999886</v>
      </c>
      <c r="P119" s="60">
        <f>N119/M119*100</f>
        <v>21.000000000000227</v>
      </c>
      <c r="Q119" s="60">
        <f>N119-0.4</f>
        <v>0.6500000000000113</v>
      </c>
      <c r="R119" s="138">
        <f>N119/0.4</f>
        <v>2.6250000000000284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52512.6</v>
      </c>
      <c r="F120" s="174">
        <v>56330.89</v>
      </c>
      <c r="G120" s="49">
        <f t="shared" si="37"/>
        <v>3818.290000000001</v>
      </c>
      <c r="H120" s="40">
        <f t="shared" si="39"/>
        <v>107.27118824815378</v>
      </c>
      <c r="I120" s="53">
        <f t="shared" si="38"/>
        <v>-15645.100000000006</v>
      </c>
      <c r="J120" s="60">
        <f t="shared" si="40"/>
        <v>78.26344590744773</v>
      </c>
      <c r="K120" s="60">
        <f>F120-47624.2</f>
        <v>8706.690000000002</v>
      </c>
      <c r="L120" s="138">
        <f>F120/47624.2</f>
        <v>1.182820708799308</v>
      </c>
      <c r="M120" s="40">
        <f>E120-серпень!E120</f>
        <v>3100</v>
      </c>
      <c r="N120" s="40">
        <f>F120-серпень!F120</f>
        <v>216.26000000000204</v>
      </c>
      <c r="O120" s="53">
        <f t="shared" si="41"/>
        <v>-2883.739999999998</v>
      </c>
      <c r="P120" s="60">
        <f aca="true" t="shared" si="42" ref="P120:P125">N120/M120*100</f>
        <v>6.97612903225813</v>
      </c>
      <c r="Q120" s="60">
        <f>N120-7964.9</f>
        <v>-7748.639999999998</v>
      </c>
      <c r="R120" s="138">
        <f>N120/7964.9</f>
        <v>0.02715162776682721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1754.71</v>
      </c>
      <c r="G121" s="49">
        <f t="shared" si="37"/>
        <v>31.710000000000036</v>
      </c>
      <c r="H121" s="40">
        <f t="shared" si="39"/>
        <v>101.84039466047592</v>
      </c>
      <c r="I121" s="60">
        <f t="shared" si="38"/>
        <v>-2995.29</v>
      </c>
      <c r="J121" s="60">
        <f t="shared" si="40"/>
        <v>36.94126315789474</v>
      </c>
      <c r="K121" s="60">
        <f>F121-1122.3</f>
        <v>632.4100000000001</v>
      </c>
      <c r="L121" s="138">
        <f>F121/1122.3</f>
        <v>1.5634946092845052</v>
      </c>
      <c r="M121" s="40">
        <f>E121-серпень!E121</f>
        <v>0</v>
      </c>
      <c r="N121" s="40">
        <f>F121-серпень!F121</f>
        <v>0.029999999999972715</v>
      </c>
      <c r="O121" s="53">
        <f t="shared" si="41"/>
        <v>0.029999999999972715</v>
      </c>
      <c r="P121" s="60" t="e">
        <f t="shared" si="42"/>
        <v>#DIV/0!</v>
      </c>
      <c r="Q121" s="60">
        <f>N121-1.4</f>
        <v>-1.3700000000000272</v>
      </c>
      <c r="R121" s="138">
        <f>N121/1.4</f>
        <v>0.02142857142855194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12928.3</v>
      </c>
      <c r="F122" s="174">
        <v>2291.79</v>
      </c>
      <c r="G122" s="49">
        <f t="shared" si="37"/>
        <v>-10636.509999999998</v>
      </c>
      <c r="H122" s="40">
        <f t="shared" si="39"/>
        <v>17.72692465366676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E122-серпень!E122</f>
        <v>3314.2999999999993</v>
      </c>
      <c r="N122" s="40">
        <f>F122-серпень!F122</f>
        <v>0</v>
      </c>
      <c r="O122" s="53">
        <f t="shared" si="41"/>
        <v>-3314.2999999999993</v>
      </c>
      <c r="P122" s="60">
        <f t="shared" si="42"/>
        <v>0</v>
      </c>
      <c r="Q122" s="60">
        <f>N122-560</f>
        <v>-560</v>
      </c>
      <c r="R122" s="138">
        <f>N122/560</f>
        <v>0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1431.22</v>
      </c>
      <c r="F123" s="174">
        <v>864.62</v>
      </c>
      <c r="G123" s="49">
        <f t="shared" si="37"/>
        <v>-566.6</v>
      </c>
      <c r="H123" s="40">
        <f t="shared" si="39"/>
        <v>60.41139726946242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E123-серпень!E123</f>
        <v>189.58999999999992</v>
      </c>
      <c r="N123" s="40">
        <f>F123-серпень!F123</f>
        <v>0</v>
      </c>
      <c r="O123" s="53">
        <f t="shared" si="41"/>
        <v>-189.58999999999992</v>
      </c>
      <c r="P123" s="60">
        <f t="shared" si="42"/>
        <v>0</v>
      </c>
      <c r="Q123" s="60">
        <f>N123-290.7</f>
        <v>-290.7</v>
      </c>
      <c r="R123" s="138">
        <f>N123/290.7</f>
        <v>0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68782.62</v>
      </c>
      <c r="F124" s="173">
        <f>F120+F121+F122+F123+F119</f>
        <v>61531.86</v>
      </c>
      <c r="G124" s="62">
        <f t="shared" si="37"/>
        <v>-7250.759999999995</v>
      </c>
      <c r="H124" s="72">
        <f t="shared" si="39"/>
        <v>89.4584416819249</v>
      </c>
      <c r="I124" s="61">
        <f t="shared" si="38"/>
        <v>-40539.33</v>
      </c>
      <c r="J124" s="61">
        <f>F124/D124*100</f>
        <v>60.28327875867814</v>
      </c>
      <c r="K124" s="61">
        <f>F124-65296.9</f>
        <v>-3765.040000000001</v>
      </c>
      <c r="L124" s="139">
        <f>F124/65296.9</f>
        <v>0.9423396822820073</v>
      </c>
      <c r="M124" s="62">
        <f>M120+M121+M122+M123+M119</f>
        <v>6608.889999999999</v>
      </c>
      <c r="N124" s="62">
        <f>N120+N121+N122+N123+N119</f>
        <v>217.34000000000202</v>
      </c>
      <c r="O124" s="61">
        <f t="shared" si="41"/>
        <v>-6391.549999999997</v>
      </c>
      <c r="P124" s="61">
        <f t="shared" si="42"/>
        <v>3.288600657599113</v>
      </c>
      <c r="Q124" s="61">
        <f>N124-8817.5</f>
        <v>-8600.159999999998</v>
      </c>
      <c r="R124" s="139">
        <f>N124/8817.5</f>
        <v>0.024648709951800626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27.16</v>
      </c>
      <c r="F125" s="174">
        <v>14.17</v>
      </c>
      <c r="G125" s="49">
        <f t="shared" si="37"/>
        <v>-12.99</v>
      </c>
      <c r="H125" s="40">
        <f t="shared" si="39"/>
        <v>52.17231222385862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E125-серпень!E125</f>
        <v>4</v>
      </c>
      <c r="N125" s="40">
        <f>F125-серпень!F125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E126-серпень!E126</f>
        <v>0</v>
      </c>
      <c r="N126" s="40">
        <f>F126-серпень!F126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E127-серпень!E127</f>
        <v>0</v>
      </c>
      <c r="N127" s="40">
        <f>F127-серпень!F127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6718.5</v>
      </c>
      <c r="F128" s="174">
        <v>7364.86</v>
      </c>
      <c r="G128" s="49">
        <f aca="true" t="shared" si="43" ref="G128:G135">F128-E128</f>
        <v>646.3599999999997</v>
      </c>
      <c r="H128" s="40">
        <f>F128/E128*100</f>
        <v>109.62059983627297</v>
      </c>
      <c r="I128" s="60">
        <f aca="true" t="shared" si="44" ref="I128:I135">F128-D128</f>
        <v>-1335.1400000000003</v>
      </c>
      <c r="J128" s="60">
        <f>F128/D128*100</f>
        <v>84.6535632183908</v>
      </c>
      <c r="K128" s="60">
        <f>F128-8680.2</f>
        <v>-1315.340000000001</v>
      </c>
      <c r="L128" s="138">
        <f>F128/8680.2</f>
        <v>0.8484666251929678</v>
      </c>
      <c r="M128" s="40">
        <f>E128-серпень!E128</f>
        <v>1</v>
      </c>
      <c r="N128" s="40">
        <f>F128-серпень!F128</f>
        <v>1.339999999999236</v>
      </c>
      <c r="O128" s="53">
        <f aca="true" t="shared" si="45" ref="O128:O135">N128-M128</f>
        <v>0.339999999999236</v>
      </c>
      <c r="P128" s="60">
        <f>N128/M128*100</f>
        <v>133.9999999999236</v>
      </c>
      <c r="Q128" s="60">
        <f>N128-2359.4</f>
        <v>-2358.060000000001</v>
      </c>
      <c r="R128" s="162">
        <f>N128/2359.4</f>
        <v>0.0005679410019493244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0.85</v>
      </c>
      <c r="G129" s="49">
        <f t="shared" si="43"/>
        <v>0.85</v>
      </c>
      <c r="H129" s="40"/>
      <c r="I129" s="60">
        <f t="shared" si="44"/>
        <v>0.85</v>
      </c>
      <c r="J129" s="60"/>
      <c r="K129" s="60">
        <f>F129-0.3</f>
        <v>0.55</v>
      </c>
      <c r="L129" s="138">
        <f>F129/0.3</f>
        <v>2.8333333333333335</v>
      </c>
      <c r="M129" s="40">
        <f>E129-серпень!E129</f>
        <v>0</v>
      </c>
      <c r="N129" s="40">
        <f>F129-серпень!F129</f>
        <v>0</v>
      </c>
      <c r="O129" s="53">
        <f t="shared" si="45"/>
        <v>0</v>
      </c>
      <c r="P129" s="60"/>
      <c r="Q129" s="60">
        <f>N129-0.4</f>
        <v>-0.4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6752.86</v>
      </c>
      <c r="F130" s="173">
        <f>F128+F125+F129+F127</f>
        <v>7399.36</v>
      </c>
      <c r="G130" s="62">
        <f t="shared" si="43"/>
        <v>646.5</v>
      </c>
      <c r="H130" s="72">
        <f>F130/E130*100</f>
        <v>109.57372135658076</v>
      </c>
      <c r="I130" s="61">
        <f t="shared" si="44"/>
        <v>-1351.340000000001</v>
      </c>
      <c r="J130" s="61">
        <f>F130/D130*100</f>
        <v>84.55734969773846</v>
      </c>
      <c r="K130" s="61">
        <f>F130-8800.6</f>
        <v>-1401.2400000000007</v>
      </c>
      <c r="L130" s="139">
        <f>G130/8800.6</f>
        <v>0.073460900393155</v>
      </c>
      <c r="M130" s="62">
        <f>M125+M128+M129+M127</f>
        <v>5</v>
      </c>
      <c r="N130" s="62">
        <f>N125+N128+N129+N127</f>
        <v>1.339999999999236</v>
      </c>
      <c r="O130" s="61">
        <f t="shared" si="45"/>
        <v>-3.660000000000764</v>
      </c>
      <c r="P130" s="61">
        <f>N130/M130*100</f>
        <v>26.79999999998472</v>
      </c>
      <c r="Q130" s="61">
        <f>N130-2362.3</f>
        <v>-2360.960000000001</v>
      </c>
      <c r="R130" s="137">
        <f>N130/2362.3</f>
        <v>0.0005672437878335672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23.45</v>
      </c>
      <c r="F131" s="174">
        <v>22.62</v>
      </c>
      <c r="G131" s="49">
        <f>F131-E131</f>
        <v>-0.8299999999999983</v>
      </c>
      <c r="H131" s="40">
        <f>F131/E131*100</f>
        <v>96.46055437100213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E131-серпень!E131</f>
        <v>7</v>
      </c>
      <c r="N131" s="40">
        <f>F131-серпень!F131</f>
        <v>0</v>
      </c>
      <c r="O131" s="53">
        <f>N131-M131</f>
        <v>-7</v>
      </c>
      <c r="P131" s="60">
        <f>N131/M131*100</f>
        <v>0</v>
      </c>
      <c r="Q131" s="60">
        <f>N131-0.5</f>
        <v>-0.5</v>
      </c>
      <c r="R131" s="138">
        <f>N131/0.5</f>
        <v>0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E132-серпень!E132</f>
        <v>0</v>
      </c>
      <c r="N132" s="40">
        <f>F132-серпень!F132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E133-серпень!E133</f>
        <v>0</v>
      </c>
      <c r="N133" s="40">
        <f>F133-серпень!F133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78439.03</v>
      </c>
      <c r="F134" s="31">
        <f>F117+F131+F124+F130+F133+F132</f>
        <v>70176.61</v>
      </c>
      <c r="G134" s="50">
        <f t="shared" si="43"/>
        <v>-8262.419999999998</v>
      </c>
      <c r="H134" s="51">
        <f>F134/E134*100</f>
        <v>89.46644291751186</v>
      </c>
      <c r="I134" s="36">
        <f t="shared" si="44"/>
        <v>-44614.880000000005</v>
      </c>
      <c r="J134" s="36">
        <f>F134/D134*100</f>
        <v>61.13398301563993</v>
      </c>
      <c r="K134" s="36">
        <f>F134-77238.6</f>
        <v>-7061.990000000005</v>
      </c>
      <c r="L134" s="136">
        <f>F134/77238.6</f>
        <v>0.9085691610153472</v>
      </c>
      <c r="M134" s="31">
        <f>M117+M131+M124+M130+M133+M132</f>
        <v>6970.389999999999</v>
      </c>
      <c r="N134" s="31">
        <f>N117+N131+N124+N130+N133+N132</f>
        <v>249.57000000000124</v>
      </c>
      <c r="O134" s="36">
        <f t="shared" si="45"/>
        <v>-6720.819999999998</v>
      </c>
      <c r="P134" s="36">
        <f>N134/M134*100</f>
        <v>3.580430937149876</v>
      </c>
      <c r="Q134" s="36">
        <f>N134-11937.6</f>
        <v>-11688.029999999999</v>
      </c>
      <c r="R134" s="136">
        <f>N134/11937.6</f>
        <v>0.020906212303980803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442002.0299999999</v>
      </c>
      <c r="F135" s="31">
        <f>F107+F134</f>
        <v>390326.99999999994</v>
      </c>
      <c r="G135" s="50">
        <f t="shared" si="43"/>
        <v>-51675.02999999997</v>
      </c>
      <c r="H135" s="51">
        <f>F135/E135*100</f>
        <v>88.30887043663577</v>
      </c>
      <c r="I135" s="36">
        <f t="shared" si="44"/>
        <v>-231344.09000000003</v>
      </c>
      <c r="J135" s="36">
        <f>F135/D135*100</f>
        <v>62.78673824127803</v>
      </c>
      <c r="K135" s="36">
        <f>F135-396993.9</f>
        <v>-6666.9000000000815</v>
      </c>
      <c r="L135" s="136">
        <f>F135/396993.9</f>
        <v>0.9832065429720707</v>
      </c>
      <c r="M135" s="22">
        <f>M107+M134</f>
        <v>47899.299999999996</v>
      </c>
      <c r="N135" s="22">
        <f>N107+N134</f>
        <v>2836.8600000000174</v>
      </c>
      <c r="O135" s="36">
        <f t="shared" si="45"/>
        <v>-45062.43999999998</v>
      </c>
      <c r="P135" s="36">
        <f>N135/M135*100</f>
        <v>5.922550016388586</v>
      </c>
      <c r="Q135" s="36">
        <f>N135-52532.5</f>
        <v>-49695.639999999985</v>
      </c>
      <c r="R135" s="136">
        <f>N135/52532.5</f>
        <v>0.05400199876267106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19</v>
      </c>
      <c r="D137" s="4" t="s">
        <v>118</v>
      </c>
    </row>
    <row r="138" spans="2:17" ht="31.5">
      <c r="B138" s="78" t="s">
        <v>154</v>
      </c>
      <c r="C138" s="39">
        <f>IF(O107&lt;0,ABS(O107/C137),0)</f>
        <v>2017.9799999999989</v>
      </c>
      <c r="D138" s="4" t="s">
        <v>104</v>
      </c>
      <c r="G138" s="196"/>
      <c r="H138" s="196"/>
      <c r="I138" s="196"/>
      <c r="J138" s="196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41885</v>
      </c>
      <c r="D139" s="39">
        <v>1073.5</v>
      </c>
      <c r="N139" s="191"/>
      <c r="O139" s="191"/>
    </row>
    <row r="140" spans="3:15" ht="15.75">
      <c r="C140" s="120">
        <v>41884</v>
      </c>
      <c r="D140" s="39">
        <v>820.4</v>
      </c>
      <c r="F140" s="4" t="s">
        <v>166</v>
      </c>
      <c r="G140" s="187" t="s">
        <v>151</v>
      </c>
      <c r="H140" s="187"/>
      <c r="I140" s="115">
        <v>13829.857960000001</v>
      </c>
      <c r="J140" s="188" t="s">
        <v>161</v>
      </c>
      <c r="K140" s="188"/>
      <c r="L140" s="188"/>
      <c r="M140" s="188"/>
      <c r="N140" s="191"/>
      <c r="O140" s="191"/>
    </row>
    <row r="141" spans="3:15" ht="15.75">
      <c r="C141" s="120">
        <v>41883</v>
      </c>
      <c r="D141" s="39">
        <v>693.43</v>
      </c>
      <c r="G141" s="189" t="s">
        <v>155</v>
      </c>
      <c r="H141" s="189"/>
      <c r="I141" s="112">
        <v>0</v>
      </c>
      <c r="J141" s="190" t="s">
        <v>162</v>
      </c>
      <c r="K141" s="190"/>
      <c r="L141" s="190"/>
      <c r="M141" s="190"/>
      <c r="N141" s="191"/>
      <c r="O141" s="191"/>
    </row>
    <row r="142" spans="7:13" ht="15.75" customHeight="1">
      <c r="G142" s="187" t="s">
        <v>148</v>
      </c>
      <c r="H142" s="187"/>
      <c r="I142" s="112">
        <v>0</v>
      </c>
      <c r="J142" s="188" t="s">
        <v>163</v>
      </c>
      <c r="K142" s="188"/>
      <c r="L142" s="188"/>
      <c r="M142" s="188"/>
    </row>
    <row r="143" spans="2:13" ht="18.75" customHeight="1">
      <c r="B143" s="185" t="s">
        <v>160</v>
      </c>
      <c r="C143" s="186"/>
      <c r="D143" s="117">
        <v>127072.21448000001</v>
      </c>
      <c r="E143" s="80"/>
      <c r="F143" s="100" t="s">
        <v>147</v>
      </c>
      <c r="G143" s="187" t="s">
        <v>149</v>
      </c>
      <c r="H143" s="187"/>
      <c r="I143" s="116">
        <v>113242.35652000002</v>
      </c>
      <c r="J143" s="188" t="s">
        <v>164</v>
      </c>
      <c r="K143" s="188"/>
      <c r="L143" s="188"/>
      <c r="M143" s="188"/>
    </row>
    <row r="144" spans="7:12" ht="9.75" customHeight="1">
      <c r="G144" s="181"/>
      <c r="H144" s="181"/>
      <c r="I144" s="98"/>
      <c r="J144" s="99"/>
      <c r="K144" s="99"/>
      <c r="L144" s="99"/>
    </row>
    <row r="145" spans="2:12" ht="22.5" customHeight="1">
      <c r="B145" s="182" t="s">
        <v>169</v>
      </c>
      <c r="C145" s="183"/>
      <c r="D145" s="119">
        <v>15526.223119999991</v>
      </c>
      <c r="E145" s="77" t="s">
        <v>104</v>
      </c>
      <c r="G145" s="181"/>
      <c r="H145" s="181"/>
      <c r="I145" s="98"/>
      <c r="J145" s="99"/>
      <c r="K145" s="99"/>
      <c r="L145" s="99"/>
    </row>
    <row r="146" spans="4:15" ht="15.75">
      <c r="D146" s="114"/>
      <c r="N146" s="181"/>
      <c r="O146" s="181"/>
    </row>
    <row r="147" spans="4:15" ht="15.75">
      <c r="D147" s="113"/>
      <c r="I147" s="39"/>
      <c r="N147" s="184"/>
      <c r="O147" s="184"/>
    </row>
    <row r="148" spans="14:15" ht="15.75">
      <c r="N148" s="181"/>
      <c r="O148" s="181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31" right="0.18" top="0.31" bottom="0.34" header="0.22" footer="0.29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3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49" sqref="F149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07" t="s">
        <v>266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126"/>
      <c r="R1" s="127"/>
    </row>
    <row r="2" spans="2:18" s="1" customFormat="1" ht="15.75" customHeight="1">
      <c r="B2" s="208"/>
      <c r="C2" s="208"/>
      <c r="D2" s="208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209"/>
      <c r="B3" s="211"/>
      <c r="C3" s="176" t="s">
        <v>0</v>
      </c>
      <c r="D3" s="177" t="s">
        <v>224</v>
      </c>
      <c r="E3" s="177"/>
      <c r="F3" s="178" t="s">
        <v>107</v>
      </c>
      <c r="G3" s="179"/>
      <c r="H3" s="179"/>
      <c r="I3" s="179"/>
      <c r="J3" s="179"/>
      <c r="K3" s="179"/>
      <c r="L3" s="180"/>
      <c r="M3" s="175" t="s">
        <v>225</v>
      </c>
      <c r="N3" s="213" t="s">
        <v>261</v>
      </c>
      <c r="O3" s="213"/>
      <c r="P3" s="213"/>
      <c r="Q3" s="213"/>
      <c r="R3" s="213"/>
    </row>
    <row r="4" spans="1:18" ht="22.5" customHeight="1">
      <c r="A4" s="209"/>
      <c r="B4" s="211"/>
      <c r="C4" s="176"/>
      <c r="D4" s="177"/>
      <c r="E4" s="177"/>
      <c r="F4" s="214" t="s">
        <v>116</v>
      </c>
      <c r="G4" s="201" t="s">
        <v>259</v>
      </c>
      <c r="H4" s="203" t="s">
        <v>260</v>
      </c>
      <c r="I4" s="199" t="s">
        <v>188</v>
      </c>
      <c r="J4" s="205" t="s">
        <v>189</v>
      </c>
      <c r="K4" s="192" t="s">
        <v>264</v>
      </c>
      <c r="L4" s="193"/>
      <c r="M4" s="212"/>
      <c r="N4" s="197" t="s">
        <v>267</v>
      </c>
      <c r="O4" s="199" t="s">
        <v>136</v>
      </c>
      <c r="P4" s="199" t="s">
        <v>135</v>
      </c>
      <c r="Q4" s="192" t="s">
        <v>265</v>
      </c>
      <c r="R4" s="193"/>
    </row>
    <row r="5" spans="1:18" ht="82.5" customHeight="1">
      <c r="A5" s="210"/>
      <c r="B5" s="211"/>
      <c r="C5" s="176"/>
      <c r="D5" s="150" t="s">
        <v>209</v>
      </c>
      <c r="E5" s="158" t="s">
        <v>258</v>
      </c>
      <c r="F5" s="215"/>
      <c r="G5" s="202"/>
      <c r="H5" s="204"/>
      <c r="I5" s="200"/>
      <c r="J5" s="206"/>
      <c r="K5" s="194"/>
      <c r="L5" s="195"/>
      <c r="M5" s="151" t="s">
        <v>262</v>
      </c>
      <c r="N5" s="198"/>
      <c r="O5" s="200"/>
      <c r="P5" s="200"/>
      <c r="Q5" s="194"/>
      <c r="R5" s="195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308935.76999999996</v>
      </c>
      <c r="G8" s="22">
        <f aca="true" t="shared" si="0" ref="G8:G30">F8-E8</f>
        <v>-3077.6200000000536</v>
      </c>
      <c r="H8" s="51">
        <f>F8/E8*100</f>
        <v>99.01362566523186</v>
      </c>
      <c r="I8" s="36">
        <f aca="true" t="shared" si="1" ref="I8:I17">F8-D8</f>
        <v>-179540.53000000003</v>
      </c>
      <c r="J8" s="36">
        <f aca="true" t="shared" si="2" ref="J8:J14">F8/D8*100</f>
        <v>63.244781783681205</v>
      </c>
      <c r="K8" s="36">
        <f>F8-306776.9</f>
        <v>2158.869999999937</v>
      </c>
      <c r="L8" s="136">
        <f>F8/306776.9</f>
        <v>1.007037263887861</v>
      </c>
      <c r="M8" s="22">
        <f>M10+M19+M33+M56+M68+M30</f>
        <v>40778.67999999999</v>
      </c>
      <c r="N8" s="22">
        <f>N10+N19+N33+N56+N68+N30</f>
        <v>39810.48999999999</v>
      </c>
      <c r="O8" s="36">
        <f aca="true" t="shared" si="3" ref="O8:O71">N8-M8</f>
        <v>-968.1900000000023</v>
      </c>
      <c r="P8" s="36">
        <f>F8/M8*100</f>
        <v>757.5913933457385</v>
      </c>
      <c r="Q8" s="36">
        <f>N8-38892.4</f>
        <v>918.0899999999892</v>
      </c>
      <c r="R8" s="134">
        <f>N8/38892.4</f>
        <v>1.0236058972961295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250278.43</v>
      </c>
      <c r="G9" s="22">
        <f t="shared" si="0"/>
        <v>250278.43</v>
      </c>
      <c r="H9" s="20"/>
      <c r="I9" s="56">
        <f t="shared" si="1"/>
        <v>-136734.77000000002</v>
      </c>
      <c r="J9" s="56">
        <f t="shared" si="2"/>
        <v>64.66922316861543</v>
      </c>
      <c r="K9" s="56"/>
      <c r="L9" s="135"/>
      <c r="M9" s="20">
        <f>M10+M17</f>
        <v>33764.899999999994</v>
      </c>
      <c r="N9" s="20">
        <f>N10+N17</f>
        <v>32392.809999999998</v>
      </c>
      <c r="O9" s="36">
        <f t="shared" si="3"/>
        <v>-1372.0899999999965</v>
      </c>
      <c r="P9" s="56">
        <f>F9/M9*100</f>
        <v>741.2384754582423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169">
        <v>250278.43</v>
      </c>
      <c r="G10" s="49">
        <f t="shared" si="0"/>
        <v>-4857.570000000007</v>
      </c>
      <c r="H10" s="40">
        <f aca="true" t="shared" si="4" ref="H10:H17">F10/E10*100</f>
        <v>98.09608600903047</v>
      </c>
      <c r="I10" s="56">
        <f t="shared" si="1"/>
        <v>-136734.77000000002</v>
      </c>
      <c r="J10" s="56">
        <f t="shared" si="2"/>
        <v>64.66922316861543</v>
      </c>
      <c r="K10" s="141">
        <f>F10-242707.3</f>
        <v>7571.130000000005</v>
      </c>
      <c r="L10" s="142">
        <f>F10/242707.3</f>
        <v>1.031194488175675</v>
      </c>
      <c r="M10" s="40">
        <f>E10-липень!E10</f>
        <v>33764.899999999994</v>
      </c>
      <c r="N10" s="40">
        <f>F10-липень!F10</f>
        <v>32392.809999999998</v>
      </c>
      <c r="O10" s="53">
        <f t="shared" si="3"/>
        <v>-1372.0899999999965</v>
      </c>
      <c r="P10" s="56">
        <f aca="true" t="shared" si="5" ref="P10:P17">N10/M10*100</f>
        <v>95.93634217782373</v>
      </c>
      <c r="Q10" s="141">
        <f>N10-31381.5</f>
        <v>1011.3099999999977</v>
      </c>
      <c r="R10" s="142">
        <f>N10/31381.5</f>
        <v>1.0322263116804486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169">
        <v>72.71</v>
      </c>
      <c r="G19" s="49">
        <f t="shared" si="0"/>
        <v>-972.8899999999999</v>
      </c>
      <c r="H19" s="40">
        <f aca="true" t="shared" si="6" ref="H19:H29">F19/E19*100</f>
        <v>6.953902065799541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F19-6117.2</f>
        <v>-6044.49</v>
      </c>
      <c r="L19" s="168">
        <f>F19/6117.2</f>
        <v>0.011886157065324005</v>
      </c>
      <c r="M19" s="40">
        <f>E19-липень!E19</f>
        <v>12</v>
      </c>
      <c r="N19" s="40">
        <f>F19-липень!F19</f>
        <v>-276.67</v>
      </c>
      <c r="O19" s="53">
        <f t="shared" si="3"/>
        <v>-288.67</v>
      </c>
      <c r="P19" s="56">
        <f aca="true" t="shared" si="9" ref="P19:P29">N19/M19*100</f>
        <v>-2305.5833333333335</v>
      </c>
      <c r="Q19" s="56">
        <f>N19-74.4</f>
        <v>-351.07000000000005</v>
      </c>
      <c r="R19" s="135">
        <f>N19/74.4</f>
        <v>-3.718682795698925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70">
        <v>573.12</v>
      </c>
      <c r="G29" s="49">
        <f t="shared" si="0"/>
        <v>-212.48000000000002</v>
      </c>
      <c r="H29" s="40">
        <f t="shared" si="6"/>
        <v>72.9531568228106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E29-липень!E29</f>
        <v>52</v>
      </c>
      <c r="N29" s="40">
        <f>F29-липень!F29</f>
        <v>-277.52</v>
      </c>
      <c r="O29" s="148">
        <f t="shared" si="3"/>
        <v>-329.52</v>
      </c>
      <c r="P29" s="145">
        <f t="shared" si="9"/>
        <v>-533.6923076923076</v>
      </c>
      <c r="Q29" s="148">
        <f>N29-74.37</f>
        <v>-351.89</v>
      </c>
      <c r="R29" s="149">
        <f>N29/74.37</f>
        <v>-3.7316122092241493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169">
        <v>54292.74</v>
      </c>
      <c r="G33" s="49">
        <f aca="true" t="shared" si="14" ref="G33:G72">F33-E33</f>
        <v>2991.949999999997</v>
      </c>
      <c r="H33" s="40">
        <f aca="true" t="shared" si="15" ref="H33:H67">F33/E33*100</f>
        <v>105.83217139541125</v>
      </c>
      <c r="I33" s="56">
        <f>F33-D33</f>
        <v>-39273.26</v>
      </c>
      <c r="J33" s="56">
        <f aca="true" t="shared" si="16" ref="J33:J72">F33/D33*100</f>
        <v>58.0261419746489</v>
      </c>
      <c r="K33" s="141">
        <f>F33-53788.3</f>
        <v>504.43999999999505</v>
      </c>
      <c r="L33" s="142">
        <f>F33/53788.3</f>
        <v>1.0093782476858348</v>
      </c>
      <c r="M33" s="40">
        <f>E33-липень!E33</f>
        <v>6439.68</v>
      </c>
      <c r="N33" s="40">
        <f>F33-липень!F33</f>
        <v>7190.5799999999945</v>
      </c>
      <c r="O33" s="53">
        <f t="shared" si="3"/>
        <v>750.8999999999942</v>
      </c>
      <c r="P33" s="56">
        <f aca="true" t="shared" si="17" ref="P33:P67">N33/M33*100</f>
        <v>111.66051729278463</v>
      </c>
      <c r="Q33" s="141">
        <f>N33-6951.4</f>
        <v>239.17999999999483</v>
      </c>
      <c r="R33" s="142">
        <f>N33/6951.4</f>
        <v>1.0344074574905766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70">
        <v>40140.27</v>
      </c>
      <c r="G55" s="144">
        <f t="shared" si="14"/>
        <v>2349.779999999999</v>
      </c>
      <c r="H55" s="146">
        <f t="shared" si="15"/>
        <v>106.21791355444188</v>
      </c>
      <c r="I55" s="145">
        <f t="shared" si="18"/>
        <v>-30125.730000000003</v>
      </c>
      <c r="J55" s="145">
        <f t="shared" si="16"/>
        <v>57.12616343608573</v>
      </c>
      <c r="K55" s="148">
        <f>F55-38852.08</f>
        <v>1288.189999999995</v>
      </c>
      <c r="L55" s="149">
        <f>F55/38852.08</f>
        <v>1.0331562685961728</v>
      </c>
      <c r="M55" s="40">
        <f>E55-липень!E55</f>
        <v>4679.68</v>
      </c>
      <c r="N55" s="40">
        <f>F55-липень!F55</f>
        <v>5257.369999999995</v>
      </c>
      <c r="O55" s="148">
        <f t="shared" si="3"/>
        <v>577.689999999995</v>
      </c>
      <c r="P55" s="148">
        <f t="shared" si="17"/>
        <v>112.34464749726467</v>
      </c>
      <c r="Q55" s="160">
        <f>N55-5157.94</f>
        <v>99.42999999999574</v>
      </c>
      <c r="R55" s="161">
        <f>N55/5157.94</f>
        <v>1.0192770757317835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169">
        <f>1.51+4285.78</f>
        <v>4287.29</v>
      </c>
      <c r="G56" s="49">
        <f t="shared" si="14"/>
        <v>-216.60999999999967</v>
      </c>
      <c r="H56" s="40">
        <f t="shared" si="15"/>
        <v>95.19061258020827</v>
      </c>
      <c r="I56" s="56">
        <f t="shared" si="18"/>
        <v>-2572.71</v>
      </c>
      <c r="J56" s="56">
        <f t="shared" si="16"/>
        <v>62.4969387755102</v>
      </c>
      <c r="K56" s="56">
        <f>F56-4138.3</f>
        <v>148.98999999999978</v>
      </c>
      <c r="L56" s="135">
        <f>F56/4138.3</f>
        <v>1.0360027064253436</v>
      </c>
      <c r="M56" s="40">
        <f>E56-липень!E56</f>
        <v>553.5999999999995</v>
      </c>
      <c r="N56" s="40">
        <f>F56-липень!F56</f>
        <v>503.52</v>
      </c>
      <c r="O56" s="53">
        <f t="shared" si="3"/>
        <v>-50.07999999999947</v>
      </c>
      <c r="P56" s="56">
        <f t="shared" si="17"/>
        <v>90.9537572254336</v>
      </c>
      <c r="Q56" s="56">
        <f>N56-484.9</f>
        <v>18.620000000000005</v>
      </c>
      <c r="R56" s="135">
        <f>N56/484.9</f>
        <v>1.0383996700350588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E68-липень!E68</f>
        <v>0</v>
      </c>
      <c r="N68" s="40">
        <f>F68-липень!F68</f>
        <v>0.26</v>
      </c>
      <c r="O68" s="53">
        <f t="shared" si="3"/>
        <v>0.26</v>
      </c>
      <c r="P68" s="56"/>
      <c r="Q68" s="56">
        <f>N68-0.3</f>
        <v>-0.03999999999999998</v>
      </c>
      <c r="R68" s="135">
        <f>N68/0.3</f>
        <v>0.8666666666666667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8609.73</v>
      </c>
      <c r="G74" s="50">
        <f aca="true" t="shared" si="24" ref="G74:G92">F74-E74</f>
        <v>-1989.7700000000004</v>
      </c>
      <c r="H74" s="51">
        <f aca="true" t="shared" si="25" ref="H74:H87">F74/E74*100</f>
        <v>81.22769941978395</v>
      </c>
      <c r="I74" s="36">
        <f aca="true" t="shared" si="26" ref="I74:I92">F74-D74</f>
        <v>-9748.57</v>
      </c>
      <c r="J74" s="36">
        <f aca="true" t="shared" si="27" ref="J74:J92">F74/D74*100</f>
        <v>46.89829668324409</v>
      </c>
      <c r="K74" s="36">
        <f>F74-12962.5</f>
        <v>-4352.77</v>
      </c>
      <c r="L74" s="136">
        <f>F74/12962.5</f>
        <v>0.6642028929604629</v>
      </c>
      <c r="M74" s="22">
        <f>M77+M86+M88+M89+M94+M95+M96+M97+M99+M87+M104</f>
        <v>1620.5</v>
      </c>
      <c r="N74" s="22">
        <f>N77+N86+N88+N89+N94+N95+N96+N97+N99+N32+N104+N87+N103</f>
        <v>1165.59</v>
      </c>
      <c r="O74" s="55">
        <f aca="true" t="shared" si="28" ref="O74:O92">N74-M74</f>
        <v>-454.9100000000001</v>
      </c>
      <c r="P74" s="36">
        <f>N74/M74*100</f>
        <v>71.92780006170935</v>
      </c>
      <c r="Q74" s="36">
        <f>N74-1702.6</f>
        <v>-537.01</v>
      </c>
      <c r="R74" s="136">
        <f>N74/1702.6</f>
        <v>0.6845941501233408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169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F86-2152</f>
        <v>-2152</v>
      </c>
      <c r="L86" s="168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E87-липень!E87</f>
        <v>0</v>
      </c>
      <c r="N87" s="40">
        <f>F87-липень!F87</f>
        <v>41.19</v>
      </c>
      <c r="O87" s="53">
        <f t="shared" si="28"/>
        <v>41.19</v>
      </c>
      <c r="P87" s="56" t="e">
        <f t="shared" si="29"/>
        <v>#DIV/0!</v>
      </c>
      <c r="Q87" s="56">
        <f>N87-8.3</f>
        <v>32.89</v>
      </c>
      <c r="R87" s="135">
        <f>N87/8.3</f>
        <v>4.962650602409638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169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169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169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169">
        <v>685.66</v>
      </c>
      <c r="G96" s="49">
        <f t="shared" si="31"/>
        <v>-8.840000000000032</v>
      </c>
      <c r="H96" s="40">
        <f>F96/E96*100</f>
        <v>98.72714182865371</v>
      </c>
      <c r="I96" s="56">
        <f t="shared" si="32"/>
        <v>-514.34</v>
      </c>
      <c r="J96" s="56">
        <f>F96/D96*100</f>
        <v>57.138333333333335</v>
      </c>
      <c r="K96" s="56">
        <f>F96-693.4</f>
        <v>-7.740000000000009</v>
      </c>
      <c r="L96" s="135">
        <f>F96/693.4</f>
        <v>0.9888376117680993</v>
      </c>
      <c r="M96" s="40">
        <f>E96-липень!E96</f>
        <v>90</v>
      </c>
      <c r="N96" s="40">
        <f>F96-липень!F96</f>
        <v>154.25</v>
      </c>
      <c r="O96" s="53">
        <f t="shared" si="33"/>
        <v>64.25</v>
      </c>
      <c r="P96" s="56">
        <f>N96/M96*100</f>
        <v>171.38888888888889</v>
      </c>
      <c r="Q96" s="56">
        <f>N96-90.8</f>
        <v>63.45</v>
      </c>
      <c r="R96" s="135">
        <f>N96/90.8</f>
        <v>1.6987885462555066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169">
        <v>2702.66</v>
      </c>
      <c r="G99" s="49">
        <f t="shared" si="31"/>
        <v>105.65999999999985</v>
      </c>
      <c r="H99" s="40">
        <f>F99/E99*100</f>
        <v>104.0685406237967</v>
      </c>
      <c r="I99" s="56">
        <f t="shared" si="32"/>
        <v>-1870.04</v>
      </c>
      <c r="J99" s="56">
        <f>F99/D99*100</f>
        <v>59.10424913071052</v>
      </c>
      <c r="K99" s="56">
        <f>F99-2979.1</f>
        <v>-276.44000000000005</v>
      </c>
      <c r="L99" s="135">
        <f>F99/2979.1</f>
        <v>0.9072068745594307</v>
      </c>
      <c r="M99" s="40">
        <f>E99-липень!E99</f>
        <v>410</v>
      </c>
      <c r="N99" s="40">
        <f>F99-липень!F99</f>
        <v>356.5699999999997</v>
      </c>
      <c r="O99" s="53">
        <f t="shared" si="33"/>
        <v>-53.43000000000029</v>
      </c>
      <c r="P99" s="56">
        <f>N99/M99*100</f>
        <v>86.96829268292676</v>
      </c>
      <c r="Q99" s="56">
        <f>N99-355.4</f>
        <v>1.1699999999997317</v>
      </c>
      <c r="R99" s="135">
        <f>N99/355.4</f>
        <v>1.0032920652785586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636</v>
      </c>
      <c r="G102" s="144"/>
      <c r="H102" s="146"/>
      <c r="I102" s="145"/>
      <c r="J102" s="145"/>
      <c r="K102" s="148">
        <f>F102-421.2</f>
        <v>214.8</v>
      </c>
      <c r="L102" s="149">
        <f>F102/421.2</f>
        <v>1.50997150997151</v>
      </c>
      <c r="M102" s="40">
        <f>E102-липень!E102</f>
        <v>0</v>
      </c>
      <c r="N102" s="40">
        <f>F102-липень!F102</f>
        <v>166.10000000000002</v>
      </c>
      <c r="O102" s="53"/>
      <c r="P102" s="60"/>
      <c r="Q102" s="60">
        <f>N102-95.6</f>
        <v>70.50000000000003</v>
      </c>
      <c r="R102" s="138">
        <f>N102/95.6</f>
        <v>1.7374476987447702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169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317563.0999999999</v>
      </c>
      <c r="G107" s="50">
        <f>F107-E107</f>
        <v>-5070.990000000107</v>
      </c>
      <c r="H107" s="51">
        <f>F107/E107*100</f>
        <v>98.42825350538746</v>
      </c>
      <c r="I107" s="36">
        <f t="shared" si="34"/>
        <v>-189316.50000000006</v>
      </c>
      <c r="J107" s="36">
        <f t="shared" si="36"/>
        <v>62.65059789346423</v>
      </c>
      <c r="K107" s="36">
        <f>F107-319755.3</f>
        <v>-2192.20000000007</v>
      </c>
      <c r="L107" s="136">
        <f>F107/319755.3</f>
        <v>0.9931441324037473</v>
      </c>
      <c r="M107" s="22">
        <f>M8+M74+M105+M106</f>
        <v>42402.17999999999</v>
      </c>
      <c r="N107" s="22">
        <f>N8+N74+N105+N106</f>
        <v>40978.16999999999</v>
      </c>
      <c r="O107" s="55">
        <f t="shared" si="35"/>
        <v>-1424.010000000002</v>
      </c>
      <c r="P107" s="36">
        <f>N107/M107*100</f>
        <v>96.64165851850069</v>
      </c>
      <c r="Q107" s="36">
        <f>N107-40595</f>
        <v>383.169999999991</v>
      </c>
      <c r="R107" s="136">
        <f>N107/40595</f>
        <v>1.0094388471486635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250964.09</v>
      </c>
      <c r="G108" s="71">
        <f>G10-G18+G96</f>
        <v>-4866.410000000007</v>
      </c>
      <c r="H108" s="72">
        <f>F108/E108*100</f>
        <v>98.09779912871998</v>
      </c>
      <c r="I108" s="52">
        <f t="shared" si="34"/>
        <v>-137249.11000000002</v>
      </c>
      <c r="J108" s="52">
        <f t="shared" si="36"/>
        <v>64.6459445479958</v>
      </c>
      <c r="K108" s="52">
        <f>F108-243489.6</f>
        <v>7474.489999999991</v>
      </c>
      <c r="L108" s="137">
        <f>F108/243489.6</f>
        <v>1.0306973685939769</v>
      </c>
      <c r="M108" s="71">
        <f>M10-M18+M96</f>
        <v>33854.899999999994</v>
      </c>
      <c r="N108" s="71">
        <f>N10-N18+N96</f>
        <v>32547.059999999998</v>
      </c>
      <c r="O108" s="53">
        <f t="shared" si="35"/>
        <v>-1307.8399999999965</v>
      </c>
      <c r="P108" s="52">
        <f>N108/M108*100</f>
        <v>96.13692552629016</v>
      </c>
      <c r="Q108" s="52">
        <f>N108-31472.4</f>
        <v>1074.6599999999962</v>
      </c>
      <c r="R108" s="137">
        <f>N108/31472.4</f>
        <v>1.0341461089716704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66599.00999999992</v>
      </c>
      <c r="G109" s="62">
        <f>F109-E109</f>
        <v>-204.5800000001036</v>
      </c>
      <c r="H109" s="72">
        <f>F109/E109*100</f>
        <v>99.69375897313287</v>
      </c>
      <c r="I109" s="52">
        <f t="shared" si="34"/>
        <v>-52067.39000000004</v>
      </c>
      <c r="J109" s="52">
        <f t="shared" si="36"/>
        <v>56.122887354803</v>
      </c>
      <c r="K109" s="52">
        <f>F109-76265.7</f>
        <v>-9666.690000000075</v>
      </c>
      <c r="L109" s="137">
        <f>F109/76265.7</f>
        <v>0.8732498357715188</v>
      </c>
      <c r="M109" s="71">
        <f>M107-M108</f>
        <v>8547.279999999999</v>
      </c>
      <c r="N109" s="71">
        <f>N107-N108</f>
        <v>8431.109999999993</v>
      </c>
      <c r="O109" s="53">
        <f t="shared" si="35"/>
        <v>-116.17000000000553</v>
      </c>
      <c r="P109" s="52">
        <f>N109/M109*100</f>
        <v>98.6408541664716</v>
      </c>
      <c r="Q109" s="52">
        <f>N109-9122.6</f>
        <v>-691.4900000000071</v>
      </c>
      <c r="R109" s="137">
        <f>N109/9122.6</f>
        <v>0.9242003376230453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250964.09</v>
      </c>
      <c r="G110" s="111">
        <f>F110-E110</f>
        <v>503.4899999999907</v>
      </c>
      <c r="H110" s="72">
        <f>F110/E110*100</f>
        <v>100.20102563037858</v>
      </c>
      <c r="I110" s="81">
        <f t="shared" si="34"/>
        <v>-137249.11000000002</v>
      </c>
      <c r="J110" s="52">
        <f t="shared" si="36"/>
        <v>64.6459445479958</v>
      </c>
      <c r="K110" s="52"/>
      <c r="L110" s="137"/>
      <c r="M110" s="72">
        <f>E110-липень!E110</f>
        <v>33854.899999999994</v>
      </c>
      <c r="N110" s="71">
        <f>N108</f>
        <v>32547.059999999998</v>
      </c>
      <c r="O110" s="63">
        <f t="shared" si="35"/>
        <v>-1307.8399999999965</v>
      </c>
      <c r="P110" s="52">
        <f>N110/M110*100</f>
        <v>96.13692552629016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172">
        <v>985.52</v>
      </c>
      <c r="G115" s="49">
        <f t="shared" si="37"/>
        <v>-1366.58</v>
      </c>
      <c r="H115" s="40">
        <f aca="true" t="shared" si="39" ref="H115:H126">F115/E115*100</f>
        <v>41.89957909952808</v>
      </c>
      <c r="I115" s="60">
        <f t="shared" si="38"/>
        <v>-2685.98</v>
      </c>
      <c r="J115" s="60">
        <f aca="true" t="shared" si="40" ref="J115:J121">F115/D115*100</f>
        <v>26.84243497208226</v>
      </c>
      <c r="K115" s="60">
        <f>F115-2927.1</f>
        <v>-1941.58</v>
      </c>
      <c r="L115" s="138">
        <f>F115/2927.1</f>
        <v>0.33668818967578834</v>
      </c>
      <c r="M115" s="40">
        <f>E115-липень!E115</f>
        <v>327.5</v>
      </c>
      <c r="N115" s="40">
        <f>F115-липень!F115</f>
        <v>172.16999999999996</v>
      </c>
      <c r="O115" s="53">
        <f aca="true" t="shared" si="41" ref="O115:O126">N115-M115</f>
        <v>-155.33000000000004</v>
      </c>
      <c r="P115" s="60">
        <f>N115/M115*100</f>
        <v>52.570992366412206</v>
      </c>
      <c r="Q115" s="60">
        <f>N115-728.3</f>
        <v>-556.13</v>
      </c>
      <c r="R115" s="138">
        <f>N115/728.3</f>
        <v>0.23639983523273372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17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173">
        <f>SUM(F114:F116)</f>
        <v>1191.8799999999999</v>
      </c>
      <c r="G117" s="62">
        <f t="shared" si="37"/>
        <v>-1338.72</v>
      </c>
      <c r="H117" s="72">
        <f t="shared" si="39"/>
        <v>47.09871176796017</v>
      </c>
      <c r="I117" s="61">
        <f t="shared" si="38"/>
        <v>-2747.7200000000003</v>
      </c>
      <c r="J117" s="61">
        <f t="shared" si="40"/>
        <v>30.253832876434156</v>
      </c>
      <c r="K117" s="61">
        <f>F117-3123.4</f>
        <v>-1931.5200000000002</v>
      </c>
      <c r="L117" s="139">
        <f>F117/3123.4</f>
        <v>0.38159697765255807</v>
      </c>
      <c r="M117" s="62">
        <f>M115+M116+M114</f>
        <v>349.5</v>
      </c>
      <c r="N117" s="38">
        <f>SUM(N114:N116)</f>
        <v>196.32999999999996</v>
      </c>
      <c r="O117" s="61">
        <f t="shared" si="41"/>
        <v>-153.17000000000004</v>
      </c>
      <c r="P117" s="61">
        <f>N117/M117*100</f>
        <v>56.17453505007152</v>
      </c>
      <c r="Q117" s="61">
        <f>N117-757.4</f>
        <v>-561.07</v>
      </c>
      <c r="R117" s="139">
        <f>N117/757.4</f>
        <v>0.25921573805122783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174">
        <v>288.8</v>
      </c>
      <c r="G119" s="49">
        <f t="shared" si="37"/>
        <v>106.30000000000001</v>
      </c>
      <c r="H119" s="40">
        <f t="shared" si="39"/>
        <v>158.24657534246575</v>
      </c>
      <c r="I119" s="60">
        <f t="shared" si="38"/>
        <v>21.600000000000023</v>
      </c>
      <c r="J119" s="60">
        <f t="shared" si="40"/>
        <v>108.08383233532935</v>
      </c>
      <c r="K119" s="60">
        <f>F119-173.1</f>
        <v>115.70000000000002</v>
      </c>
      <c r="L119" s="138">
        <f>F119/173.1</f>
        <v>1.6683997689196997</v>
      </c>
      <c r="M119" s="40">
        <f>E119-липень!E119</f>
        <v>0</v>
      </c>
      <c r="N119" s="40">
        <f>F119-липень!F119</f>
        <v>29.730000000000018</v>
      </c>
      <c r="O119" s="53">
        <f>N119-M119</f>
        <v>29.730000000000018</v>
      </c>
      <c r="P119" s="60" t="e">
        <f>N119/M119*100</f>
        <v>#DIV/0!</v>
      </c>
      <c r="Q119" s="60">
        <f>N119-0.4</f>
        <v>29.33000000000002</v>
      </c>
      <c r="R119" s="138">
        <f>N119/0.4</f>
        <v>74.32500000000005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174">
        <v>56114.63</v>
      </c>
      <c r="G120" s="49">
        <f t="shared" si="37"/>
        <v>6702.029999999999</v>
      </c>
      <c r="H120" s="40">
        <f t="shared" si="39"/>
        <v>113.56340285676123</v>
      </c>
      <c r="I120" s="53">
        <f t="shared" si="38"/>
        <v>-15861.360000000008</v>
      </c>
      <c r="J120" s="60">
        <f t="shared" si="40"/>
        <v>77.96298460083702</v>
      </c>
      <c r="K120" s="60">
        <f>F120-47624.2</f>
        <v>8490.43</v>
      </c>
      <c r="L120" s="138">
        <f>F120/47624.2</f>
        <v>1.1782797401321177</v>
      </c>
      <c r="M120" s="40">
        <f>E120-липень!E120</f>
        <v>8100</v>
      </c>
      <c r="N120" s="40">
        <f>F120-липень!F120</f>
        <v>9904.899999999994</v>
      </c>
      <c r="O120" s="53">
        <f t="shared" si="41"/>
        <v>1804.8999999999942</v>
      </c>
      <c r="P120" s="60">
        <f aca="true" t="shared" si="42" ref="P120:P125">N120/M120*100</f>
        <v>122.28271604938263</v>
      </c>
      <c r="Q120" s="60">
        <f>N120-7964.9</f>
        <v>1939.9999999999945</v>
      </c>
      <c r="R120" s="138">
        <f>N120/7964.9</f>
        <v>1.2435686574847136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1754.68</v>
      </c>
      <c r="G121" s="49">
        <f t="shared" si="37"/>
        <v>31.680000000000064</v>
      </c>
      <c r="H121" s="40">
        <f t="shared" si="39"/>
        <v>101.83865351131746</v>
      </c>
      <c r="I121" s="60">
        <f t="shared" si="38"/>
        <v>-2995.3199999999997</v>
      </c>
      <c r="J121" s="60">
        <f t="shared" si="40"/>
        <v>36.94063157894737</v>
      </c>
      <c r="K121" s="60">
        <f>F121-1122.3</f>
        <v>632.3800000000001</v>
      </c>
      <c r="L121" s="138">
        <f>F121/1122.3</f>
        <v>1.563467878463869</v>
      </c>
      <c r="M121" s="40">
        <f>E121-липень!E121</f>
        <v>40</v>
      </c>
      <c r="N121" s="40">
        <f>F121-липень!F121</f>
        <v>76.54999999999995</v>
      </c>
      <c r="O121" s="53">
        <f t="shared" si="41"/>
        <v>36.549999999999955</v>
      </c>
      <c r="P121" s="60">
        <f t="shared" si="42"/>
        <v>191.3749999999999</v>
      </c>
      <c r="Q121" s="60">
        <f>N121-1.4</f>
        <v>75.14999999999995</v>
      </c>
      <c r="R121" s="138">
        <f>N121/1.4</f>
        <v>54.6785714285714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174">
        <v>2291.79</v>
      </c>
      <c r="G122" s="49">
        <f t="shared" si="37"/>
        <v>-7322.21</v>
      </c>
      <c r="H122" s="40">
        <f t="shared" si="39"/>
        <v>23.838048679009777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E122-липень!E122</f>
        <v>2381.5</v>
      </c>
      <c r="N122" s="40">
        <f>F122-липень!F122</f>
        <v>55.820000000000164</v>
      </c>
      <c r="O122" s="53">
        <f t="shared" si="41"/>
        <v>-2325.68</v>
      </c>
      <c r="P122" s="60">
        <f t="shared" si="42"/>
        <v>2.3439009027923645</v>
      </c>
      <c r="Q122" s="60">
        <f>N122-560</f>
        <v>-504.17999999999984</v>
      </c>
      <c r="R122" s="138">
        <f>N122/560</f>
        <v>0.09967857142857173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174">
        <v>864.62</v>
      </c>
      <c r="G123" s="49">
        <f t="shared" si="37"/>
        <v>-377.0100000000001</v>
      </c>
      <c r="H123" s="40">
        <f t="shared" si="39"/>
        <v>69.63588186496781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E123-липень!E123</f>
        <v>189.59000000000015</v>
      </c>
      <c r="N123" s="40">
        <f>F123-липень!F123</f>
        <v>100.39999999999998</v>
      </c>
      <c r="O123" s="53">
        <f t="shared" si="41"/>
        <v>-89.19000000000017</v>
      </c>
      <c r="P123" s="60">
        <f t="shared" si="42"/>
        <v>52.95637955588369</v>
      </c>
      <c r="Q123" s="60">
        <f>N123-290.7</f>
        <v>-190.3</v>
      </c>
      <c r="R123" s="138">
        <f>N123/290.7</f>
        <v>0.34537323701410383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173">
        <f>F120+F121+F122+F123+F119</f>
        <v>61314.520000000004</v>
      </c>
      <c r="G124" s="62">
        <f t="shared" si="37"/>
        <v>-859.2099999999919</v>
      </c>
      <c r="H124" s="72">
        <f t="shared" si="39"/>
        <v>98.61804977761508</v>
      </c>
      <c r="I124" s="61">
        <f t="shared" si="38"/>
        <v>-40756.67</v>
      </c>
      <c r="J124" s="61">
        <f>F124/D124*100</f>
        <v>60.07034893979388</v>
      </c>
      <c r="K124" s="61">
        <f>F124-65296.9</f>
        <v>-3982.3799999999974</v>
      </c>
      <c r="L124" s="139">
        <f>F124/65296.9</f>
        <v>0.9390111934869803</v>
      </c>
      <c r="M124" s="62">
        <f>M120+M121+M122+M123+M119</f>
        <v>10711.09</v>
      </c>
      <c r="N124" s="62">
        <f>N120+N121+N122+N123+N119</f>
        <v>10167.399999999992</v>
      </c>
      <c r="O124" s="61">
        <f t="shared" si="41"/>
        <v>-543.6900000000078</v>
      </c>
      <c r="P124" s="61">
        <f t="shared" si="42"/>
        <v>94.92404601212381</v>
      </c>
      <c r="Q124" s="61">
        <f>N124-8817.5</f>
        <v>1349.8999999999924</v>
      </c>
      <c r="R124" s="139">
        <f>N124/8817.5</f>
        <v>1.153093280408278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174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174">
        <v>7363.52</v>
      </c>
      <c r="G128" s="49">
        <f aca="true" t="shared" si="43" ref="G128:G135">F128-E128</f>
        <v>646.0200000000004</v>
      </c>
      <c r="H128" s="40">
        <f>F128/E128*100</f>
        <v>109.61697059918126</v>
      </c>
      <c r="I128" s="60">
        <f aca="true" t="shared" si="44" ref="I128:I135">F128-D128</f>
        <v>-1336.4799999999996</v>
      </c>
      <c r="J128" s="60">
        <f>F128/D128*100</f>
        <v>84.63816091954024</v>
      </c>
      <c r="K128" s="60">
        <f>F128-8680.2</f>
        <v>-1316.6800000000003</v>
      </c>
      <c r="L128" s="138">
        <f>F128/8680.2</f>
        <v>0.8483122508697956</v>
      </c>
      <c r="M128" s="40">
        <f>E128-липень!E128</f>
        <v>1702</v>
      </c>
      <c r="N128" s="40">
        <f>F128-липень!F128</f>
        <v>2055.3500000000004</v>
      </c>
      <c r="O128" s="53">
        <f aca="true" t="shared" si="45" ref="O128:O135">N128-M128</f>
        <v>353.35000000000036</v>
      </c>
      <c r="P128" s="60">
        <f>N128/M128*100</f>
        <v>120.7608695652174</v>
      </c>
      <c r="Q128" s="60">
        <f>N128-2359.4</f>
        <v>-304.0499999999997</v>
      </c>
      <c r="R128" s="162">
        <f>N128/2359.4</f>
        <v>0.8711324913113505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0.85</v>
      </c>
      <c r="G129" s="49">
        <f t="shared" si="43"/>
        <v>0.85</v>
      </c>
      <c r="H129" s="40"/>
      <c r="I129" s="60">
        <f t="shared" si="44"/>
        <v>0.85</v>
      </c>
      <c r="J129" s="60"/>
      <c r="K129" s="60">
        <f>F129-0.3</f>
        <v>0.55</v>
      </c>
      <c r="L129" s="138">
        <f>F129/0.3</f>
        <v>2.8333333333333335</v>
      </c>
      <c r="M129" s="40">
        <f>E129-липень!E129</f>
        <v>0</v>
      </c>
      <c r="N129" s="40">
        <f>F129-липень!F129</f>
        <v>0.32999999999999996</v>
      </c>
      <c r="O129" s="53">
        <f t="shared" si="45"/>
        <v>0.32999999999999996</v>
      </c>
      <c r="P129" s="60"/>
      <c r="Q129" s="60">
        <f>N129-0.4</f>
        <v>-0.07000000000000006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173">
        <f>F128+F125+F129+F127</f>
        <v>7398.02</v>
      </c>
      <c r="G130" s="62">
        <f t="shared" si="43"/>
        <v>650.1600000000008</v>
      </c>
      <c r="H130" s="72">
        <f>F130/E130*100</f>
        <v>109.63505466918402</v>
      </c>
      <c r="I130" s="61">
        <f t="shared" si="44"/>
        <v>-1352.6800000000003</v>
      </c>
      <c r="J130" s="61">
        <f>F130/D130*100</f>
        <v>84.54203663706903</v>
      </c>
      <c r="K130" s="61">
        <f>F130-8800.6</f>
        <v>-1402.58</v>
      </c>
      <c r="L130" s="139">
        <f>G130/8800.6</f>
        <v>0.0738767811285595</v>
      </c>
      <c r="M130" s="62">
        <f>M125+M128+M129+M127</f>
        <v>1706</v>
      </c>
      <c r="N130" s="62">
        <f>N125+N128+N129+N127</f>
        <v>2055.6800000000003</v>
      </c>
      <c r="O130" s="61">
        <f t="shared" si="45"/>
        <v>349.6800000000003</v>
      </c>
      <c r="P130" s="61">
        <f>N130/M130*100</f>
        <v>120.49706916764362</v>
      </c>
      <c r="Q130" s="61">
        <f>N130-2362.3</f>
        <v>-306.6199999999999</v>
      </c>
      <c r="R130" s="137">
        <f>N130/2362.3</f>
        <v>0.8702027684883377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174">
        <v>22.62</v>
      </c>
      <c r="G131" s="49">
        <f>F131-E131</f>
        <v>6.170000000000002</v>
      </c>
      <c r="H131" s="40">
        <f>F131/E131*100</f>
        <v>137.50759878419453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E131-липень!E131</f>
        <v>0.3999999999999986</v>
      </c>
      <c r="N131" s="40">
        <f>F131-липень!F131</f>
        <v>0.22000000000000242</v>
      </c>
      <c r="O131" s="53">
        <f>N131-M131</f>
        <v>-0.17999999999999616</v>
      </c>
      <c r="P131" s="60">
        <f>N131/M131*100</f>
        <v>55.0000000000008</v>
      </c>
      <c r="Q131" s="60">
        <f>N131-0.5</f>
        <v>-0.2799999999999976</v>
      </c>
      <c r="R131" s="138">
        <f>N131/0.5</f>
        <v>0.44000000000000483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69927.04000000001</v>
      </c>
      <c r="G134" s="50">
        <f t="shared" si="43"/>
        <v>-1541.5999999999913</v>
      </c>
      <c r="H134" s="51">
        <f>F134/E134*100</f>
        <v>97.84297000754458</v>
      </c>
      <c r="I134" s="36">
        <f t="shared" si="44"/>
        <v>-44864.45</v>
      </c>
      <c r="J134" s="36">
        <f>F134/D134*100</f>
        <v>60.91657142877055</v>
      </c>
      <c r="K134" s="36">
        <f>F134-77238.6</f>
        <v>-7311.559999999998</v>
      </c>
      <c r="L134" s="136">
        <f>F134/77238.6</f>
        <v>0.9053380045728432</v>
      </c>
      <c r="M134" s="31">
        <f>M117+M131+M124+M130+M133+M132</f>
        <v>12766.99</v>
      </c>
      <c r="N134" s="31">
        <f>N117+N131+N124+N130+N133+N132</f>
        <v>12419.629999999992</v>
      </c>
      <c r="O134" s="36">
        <f t="shared" si="45"/>
        <v>-347.36000000000786</v>
      </c>
      <c r="P134" s="36">
        <f>N134/M134*100</f>
        <v>97.27923339800526</v>
      </c>
      <c r="Q134" s="36">
        <f>N134-11937.6</f>
        <v>482.02999999999156</v>
      </c>
      <c r="R134" s="136">
        <f>N134/11937.6</f>
        <v>1.0403791381852292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387490.1399999999</v>
      </c>
      <c r="G135" s="50">
        <f t="shared" si="43"/>
        <v>-6612.590000000142</v>
      </c>
      <c r="H135" s="51">
        <f>F135/E135*100</f>
        <v>98.32211515002697</v>
      </c>
      <c r="I135" s="36">
        <f t="shared" si="44"/>
        <v>-234180.95000000007</v>
      </c>
      <c r="J135" s="36">
        <f>F135/D135*100</f>
        <v>62.330410120888835</v>
      </c>
      <c r="K135" s="36">
        <f>F135-396993.9</f>
        <v>-9503.760000000126</v>
      </c>
      <c r="L135" s="136">
        <f>F135/396993.9</f>
        <v>0.9760606901012834</v>
      </c>
      <c r="M135" s="22">
        <f>M107+M134</f>
        <v>55169.16999999999</v>
      </c>
      <c r="N135" s="22">
        <f>N107+N134</f>
        <v>53397.79999999998</v>
      </c>
      <c r="O135" s="36">
        <f t="shared" si="45"/>
        <v>-1771.37000000001</v>
      </c>
      <c r="P135" s="36">
        <f>N135/M135*100</f>
        <v>96.78920310020975</v>
      </c>
      <c r="Q135" s="36">
        <f>N135-52532.5</f>
        <v>865.2999999999811</v>
      </c>
      <c r="R135" s="136">
        <f>N135/52532.5</f>
        <v>1.0164717079902914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6"/>
      <c r="H138" s="196"/>
      <c r="I138" s="196"/>
      <c r="J138" s="196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41880</v>
      </c>
      <c r="D139" s="39">
        <v>5085.3</v>
      </c>
      <c r="N139" s="191"/>
      <c r="O139" s="191"/>
    </row>
    <row r="140" spans="3:15" ht="15.75">
      <c r="C140" s="120">
        <v>41879</v>
      </c>
      <c r="D140" s="39">
        <v>3653.6</v>
      </c>
      <c r="F140" s="4" t="s">
        <v>166</v>
      </c>
      <c r="G140" s="187" t="s">
        <v>151</v>
      </c>
      <c r="H140" s="187"/>
      <c r="I140" s="115">
        <v>13829.857960000001</v>
      </c>
      <c r="J140" s="188" t="s">
        <v>161</v>
      </c>
      <c r="K140" s="188"/>
      <c r="L140" s="188"/>
      <c r="M140" s="188"/>
      <c r="N140" s="191"/>
      <c r="O140" s="191"/>
    </row>
    <row r="141" spans="3:15" ht="15.75">
      <c r="C141" s="120">
        <v>41878</v>
      </c>
      <c r="D141" s="39">
        <v>1194.3</v>
      </c>
      <c r="G141" s="189" t="s">
        <v>155</v>
      </c>
      <c r="H141" s="189"/>
      <c r="I141" s="112">
        <v>0</v>
      </c>
      <c r="J141" s="190" t="s">
        <v>162</v>
      </c>
      <c r="K141" s="190"/>
      <c r="L141" s="190"/>
      <c r="M141" s="190"/>
      <c r="N141" s="191"/>
      <c r="O141" s="191"/>
    </row>
    <row r="142" spans="7:13" ht="15.75" customHeight="1">
      <c r="G142" s="187" t="s">
        <v>148</v>
      </c>
      <c r="H142" s="187"/>
      <c r="I142" s="112">
        <v>0</v>
      </c>
      <c r="J142" s="188" t="s">
        <v>163</v>
      </c>
      <c r="K142" s="188"/>
      <c r="L142" s="188"/>
      <c r="M142" s="188"/>
    </row>
    <row r="143" spans="2:13" ht="18.75" customHeight="1">
      <c r="B143" s="185" t="s">
        <v>160</v>
      </c>
      <c r="C143" s="186"/>
      <c r="D143" s="117">
        <v>127799.14</v>
      </c>
      <c r="E143" s="80"/>
      <c r="F143" s="100" t="s">
        <v>147</v>
      </c>
      <c r="G143" s="187" t="s">
        <v>149</v>
      </c>
      <c r="H143" s="187"/>
      <c r="I143" s="116">
        <v>113969.28</v>
      </c>
      <c r="J143" s="188" t="s">
        <v>164</v>
      </c>
      <c r="K143" s="188"/>
      <c r="L143" s="188"/>
      <c r="M143" s="188"/>
    </row>
    <row r="144" spans="7:12" ht="9.75" customHeight="1">
      <c r="G144" s="181"/>
      <c r="H144" s="181"/>
      <c r="I144" s="98"/>
      <c r="J144" s="99"/>
      <c r="K144" s="99"/>
      <c r="L144" s="99"/>
    </row>
    <row r="145" spans="2:12" ht="22.5" customHeight="1">
      <c r="B145" s="182" t="s">
        <v>169</v>
      </c>
      <c r="C145" s="183"/>
      <c r="D145" s="119">
        <v>18493.9</v>
      </c>
      <c r="E145" s="77" t="s">
        <v>104</v>
      </c>
      <c r="G145" s="181"/>
      <c r="H145" s="181"/>
      <c r="I145" s="98"/>
      <c r="J145" s="99"/>
      <c r="K145" s="99"/>
      <c r="L145" s="99"/>
    </row>
    <row r="146" spans="4:15" ht="15.75">
      <c r="D146" s="114"/>
      <c r="N146" s="181"/>
      <c r="O146" s="181"/>
    </row>
    <row r="147" spans="4:15" ht="15.75">
      <c r="D147" s="113"/>
      <c r="I147" s="39"/>
      <c r="N147" s="184"/>
      <c r="O147" s="184"/>
    </row>
    <row r="148" spans="14:15" ht="15.75">
      <c r="N148" s="181"/>
      <c r="O148" s="181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8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8" sqref="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07" t="s">
        <v>256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126"/>
      <c r="R1" s="127"/>
    </row>
    <row r="2" spans="2:18" s="1" customFormat="1" ht="15.75" customHeight="1">
      <c r="B2" s="208"/>
      <c r="C2" s="208"/>
      <c r="D2" s="208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209"/>
      <c r="B3" s="211"/>
      <c r="C3" s="176" t="s">
        <v>0</v>
      </c>
      <c r="D3" s="177" t="s">
        <v>224</v>
      </c>
      <c r="E3" s="177"/>
      <c r="F3" s="178" t="s">
        <v>107</v>
      </c>
      <c r="G3" s="179"/>
      <c r="H3" s="179"/>
      <c r="I3" s="179"/>
      <c r="J3" s="179"/>
      <c r="K3" s="179"/>
      <c r="L3" s="180"/>
      <c r="M3" s="175" t="s">
        <v>225</v>
      </c>
      <c r="N3" s="213" t="s">
        <v>252</v>
      </c>
      <c r="O3" s="213"/>
      <c r="P3" s="213"/>
      <c r="Q3" s="213"/>
      <c r="R3" s="213"/>
    </row>
    <row r="4" spans="1:18" ht="22.5" customHeight="1">
      <c r="A4" s="209"/>
      <c r="B4" s="211"/>
      <c r="C4" s="176"/>
      <c r="D4" s="177"/>
      <c r="E4" s="177"/>
      <c r="F4" s="214" t="s">
        <v>116</v>
      </c>
      <c r="G4" s="201" t="s">
        <v>249</v>
      </c>
      <c r="H4" s="203" t="s">
        <v>250</v>
      </c>
      <c r="I4" s="199" t="s">
        <v>188</v>
      </c>
      <c r="J4" s="205" t="s">
        <v>189</v>
      </c>
      <c r="K4" s="192" t="s">
        <v>254</v>
      </c>
      <c r="L4" s="193"/>
      <c r="M4" s="212"/>
      <c r="N4" s="197" t="s">
        <v>257</v>
      </c>
      <c r="O4" s="199" t="s">
        <v>136</v>
      </c>
      <c r="P4" s="199" t="s">
        <v>135</v>
      </c>
      <c r="Q4" s="192" t="s">
        <v>255</v>
      </c>
      <c r="R4" s="193"/>
    </row>
    <row r="5" spans="1:18" ht="82.5" customHeight="1">
      <c r="A5" s="210"/>
      <c r="B5" s="211"/>
      <c r="C5" s="176"/>
      <c r="D5" s="150" t="s">
        <v>209</v>
      </c>
      <c r="E5" s="158" t="s">
        <v>248</v>
      </c>
      <c r="F5" s="215"/>
      <c r="G5" s="202"/>
      <c r="H5" s="204"/>
      <c r="I5" s="200"/>
      <c r="J5" s="206"/>
      <c r="K5" s="194"/>
      <c r="L5" s="195"/>
      <c r="M5" s="151" t="s">
        <v>251</v>
      </c>
      <c r="N5" s="198"/>
      <c r="O5" s="200"/>
      <c r="P5" s="200"/>
      <c r="Q5" s="194"/>
      <c r="R5" s="195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96"/>
      <c r="H138" s="196"/>
      <c r="I138" s="196"/>
      <c r="J138" s="196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191"/>
      <c r="O139" s="191"/>
    </row>
    <row r="140" spans="3:15" ht="15.75">
      <c r="C140" s="120">
        <v>41850</v>
      </c>
      <c r="D140" s="39">
        <v>4320</v>
      </c>
      <c r="F140" s="4" t="s">
        <v>166</v>
      </c>
      <c r="G140" s="187" t="s">
        <v>151</v>
      </c>
      <c r="H140" s="187"/>
      <c r="I140" s="115">
        <f>13825221.96/1000</f>
        <v>13825.22196</v>
      </c>
      <c r="J140" s="188" t="s">
        <v>161</v>
      </c>
      <c r="K140" s="188"/>
      <c r="L140" s="188"/>
      <c r="M140" s="188"/>
      <c r="N140" s="191"/>
      <c r="O140" s="191"/>
    </row>
    <row r="141" spans="3:15" ht="15.75">
      <c r="C141" s="120">
        <v>41849</v>
      </c>
      <c r="D141" s="39">
        <v>4403.7</v>
      </c>
      <c r="G141" s="189" t="s">
        <v>155</v>
      </c>
      <c r="H141" s="189"/>
      <c r="I141" s="112">
        <v>0</v>
      </c>
      <c r="J141" s="190" t="s">
        <v>162</v>
      </c>
      <c r="K141" s="190"/>
      <c r="L141" s="190"/>
      <c r="M141" s="190"/>
      <c r="N141" s="191"/>
      <c r="O141" s="191"/>
    </row>
    <row r="142" spans="7:13" ht="15.75" customHeight="1">
      <c r="G142" s="187" t="s">
        <v>148</v>
      </c>
      <c r="H142" s="187"/>
      <c r="I142" s="112">
        <f>'[1]залишки  (2)'!$G$8/1000</f>
        <v>0</v>
      </c>
      <c r="J142" s="188" t="s">
        <v>163</v>
      </c>
      <c r="K142" s="188"/>
      <c r="L142" s="188"/>
      <c r="M142" s="188"/>
    </row>
    <row r="143" spans="2:13" ht="18.75" customHeight="1">
      <c r="B143" s="185" t="s">
        <v>160</v>
      </c>
      <c r="C143" s="186"/>
      <c r="D143" s="117">
        <f>120856761.09/1000</f>
        <v>120856.76109</v>
      </c>
      <c r="E143" s="80"/>
      <c r="F143" s="100" t="s">
        <v>147</v>
      </c>
      <c r="G143" s="187" t="s">
        <v>149</v>
      </c>
      <c r="H143" s="187"/>
      <c r="I143" s="116">
        <f>107031539.13/1000</f>
        <v>107031.53912999999</v>
      </c>
      <c r="J143" s="188" t="s">
        <v>164</v>
      </c>
      <c r="K143" s="188"/>
      <c r="L143" s="188"/>
      <c r="M143" s="188"/>
    </row>
    <row r="144" spans="7:12" ht="9.75" customHeight="1">
      <c r="G144" s="181"/>
      <c r="H144" s="181"/>
      <c r="I144" s="98"/>
      <c r="J144" s="99"/>
      <c r="K144" s="99"/>
      <c r="L144" s="99"/>
    </row>
    <row r="145" spans="2:12" ht="22.5" customHeight="1">
      <c r="B145" s="182" t="s">
        <v>169</v>
      </c>
      <c r="C145" s="183"/>
      <c r="D145" s="119">
        <f>26199804.73/1000</f>
        <v>26199.80473</v>
      </c>
      <c r="E145" s="77" t="s">
        <v>104</v>
      </c>
      <c r="G145" s="181"/>
      <c r="H145" s="181"/>
      <c r="I145" s="98"/>
      <c r="J145" s="99"/>
      <c r="K145" s="99"/>
      <c r="L145" s="99"/>
    </row>
    <row r="146" spans="4:15" ht="15.75">
      <c r="D146" s="114"/>
      <c r="N146" s="181"/>
      <c r="O146" s="181"/>
    </row>
    <row r="147" spans="4:15" ht="15.75">
      <c r="D147" s="113"/>
      <c r="I147" s="39"/>
      <c r="N147" s="184"/>
      <c r="O147" s="184"/>
    </row>
    <row r="148" spans="14:15" ht="15.75">
      <c r="N148" s="181"/>
      <c r="O148" s="181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68" sqref="H6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07" t="s">
        <v>246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126"/>
      <c r="R1" s="127"/>
    </row>
    <row r="2" spans="2:18" s="1" customFormat="1" ht="15.75" customHeight="1">
      <c r="B2" s="208"/>
      <c r="C2" s="208"/>
      <c r="D2" s="208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209"/>
      <c r="B3" s="211"/>
      <c r="C3" s="176" t="s">
        <v>0</v>
      </c>
      <c r="D3" s="177" t="s">
        <v>224</v>
      </c>
      <c r="E3" s="177"/>
      <c r="F3" s="178" t="s">
        <v>107</v>
      </c>
      <c r="G3" s="179"/>
      <c r="H3" s="179"/>
      <c r="I3" s="179"/>
      <c r="J3" s="179"/>
      <c r="K3" s="179"/>
      <c r="L3" s="180"/>
      <c r="M3" s="175" t="s">
        <v>225</v>
      </c>
      <c r="N3" s="213" t="s">
        <v>243</v>
      </c>
      <c r="O3" s="213"/>
      <c r="P3" s="213"/>
      <c r="Q3" s="213"/>
      <c r="R3" s="213"/>
    </row>
    <row r="4" spans="1:18" ht="22.5" customHeight="1">
      <c r="A4" s="209"/>
      <c r="B4" s="211"/>
      <c r="C4" s="176"/>
      <c r="D4" s="177"/>
      <c r="E4" s="177"/>
      <c r="F4" s="214" t="s">
        <v>116</v>
      </c>
      <c r="G4" s="201" t="s">
        <v>238</v>
      </c>
      <c r="H4" s="203" t="s">
        <v>239</v>
      </c>
      <c r="I4" s="199" t="s">
        <v>188</v>
      </c>
      <c r="J4" s="205" t="s">
        <v>189</v>
      </c>
      <c r="K4" s="192" t="s">
        <v>240</v>
      </c>
      <c r="L4" s="193"/>
      <c r="M4" s="212"/>
      <c r="N4" s="197" t="s">
        <v>247</v>
      </c>
      <c r="O4" s="199" t="s">
        <v>136</v>
      </c>
      <c r="P4" s="199" t="s">
        <v>135</v>
      </c>
      <c r="Q4" s="192" t="s">
        <v>242</v>
      </c>
      <c r="R4" s="193"/>
    </row>
    <row r="5" spans="1:18" ht="82.5" customHeight="1">
      <c r="A5" s="210"/>
      <c r="B5" s="211"/>
      <c r="C5" s="176"/>
      <c r="D5" s="150" t="s">
        <v>209</v>
      </c>
      <c r="E5" s="158" t="s">
        <v>237</v>
      </c>
      <c r="F5" s="215"/>
      <c r="G5" s="202"/>
      <c r="H5" s="204"/>
      <c r="I5" s="200"/>
      <c r="J5" s="206"/>
      <c r="K5" s="194"/>
      <c r="L5" s="195"/>
      <c r="M5" s="151" t="s">
        <v>241</v>
      </c>
      <c r="N5" s="198"/>
      <c r="O5" s="200"/>
      <c r="P5" s="200"/>
      <c r="Q5" s="194"/>
      <c r="R5" s="195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6"/>
      <c r="H138" s="196"/>
      <c r="I138" s="196"/>
      <c r="J138" s="196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91"/>
      <c r="O139" s="191"/>
    </row>
    <row r="140" spans="3:15" ht="15.75">
      <c r="C140" s="120">
        <v>41816</v>
      </c>
      <c r="D140" s="39">
        <v>4277.2</v>
      </c>
      <c r="F140" s="4" t="s">
        <v>166</v>
      </c>
      <c r="G140" s="187" t="s">
        <v>151</v>
      </c>
      <c r="H140" s="187"/>
      <c r="I140" s="115">
        <f>'[1]залишки  (2)'!$G$9/1000</f>
        <v>13829.857960000001</v>
      </c>
      <c r="J140" s="188" t="s">
        <v>161</v>
      </c>
      <c r="K140" s="188"/>
      <c r="L140" s="188"/>
      <c r="M140" s="188"/>
      <c r="N140" s="191"/>
      <c r="O140" s="191"/>
    </row>
    <row r="141" spans="3:15" ht="15.75">
      <c r="C141" s="120">
        <v>41815</v>
      </c>
      <c r="D141" s="39">
        <v>1877.7</v>
      </c>
      <c r="G141" s="189" t="s">
        <v>155</v>
      </c>
      <c r="H141" s="189"/>
      <c r="I141" s="112">
        <v>0</v>
      </c>
      <c r="J141" s="190" t="s">
        <v>162</v>
      </c>
      <c r="K141" s="190"/>
      <c r="L141" s="190"/>
      <c r="M141" s="190"/>
      <c r="N141" s="191"/>
      <c r="O141" s="191"/>
    </row>
    <row r="142" spans="7:13" ht="15.75" customHeight="1">
      <c r="G142" s="187" t="s">
        <v>148</v>
      </c>
      <c r="H142" s="187"/>
      <c r="I142" s="112">
        <f>'[1]залишки  (2)'!$G$8/1000</f>
        <v>0</v>
      </c>
      <c r="J142" s="188" t="s">
        <v>163</v>
      </c>
      <c r="K142" s="188"/>
      <c r="L142" s="188"/>
      <c r="M142" s="188"/>
    </row>
    <row r="143" spans="2:13" ht="18.75" customHeight="1">
      <c r="B143" s="185" t="s">
        <v>160</v>
      </c>
      <c r="C143" s="186"/>
      <c r="D143" s="117">
        <v>117976.29</v>
      </c>
      <c r="E143" s="80"/>
      <c r="F143" s="100" t="s">
        <v>147</v>
      </c>
      <c r="G143" s="187" t="s">
        <v>149</v>
      </c>
      <c r="H143" s="187"/>
      <c r="I143" s="116">
        <v>104151.07</v>
      </c>
      <c r="J143" s="188" t="s">
        <v>164</v>
      </c>
      <c r="K143" s="188"/>
      <c r="L143" s="188"/>
      <c r="M143" s="188"/>
    </row>
    <row r="144" spans="7:12" ht="9.75" customHeight="1">
      <c r="G144" s="181"/>
      <c r="H144" s="181"/>
      <c r="I144" s="98"/>
      <c r="J144" s="99"/>
      <c r="K144" s="99"/>
      <c r="L144" s="99"/>
    </row>
    <row r="145" spans="2:12" ht="22.5" customHeight="1">
      <c r="B145" s="182" t="s">
        <v>169</v>
      </c>
      <c r="C145" s="183"/>
      <c r="D145" s="119">
        <v>41386</v>
      </c>
      <c r="E145" s="77" t="s">
        <v>104</v>
      </c>
      <c r="G145" s="181"/>
      <c r="H145" s="181"/>
      <c r="I145" s="98"/>
      <c r="J145" s="99"/>
      <c r="K145" s="99"/>
      <c r="L145" s="99"/>
    </row>
    <row r="146" spans="4:15" ht="15.75">
      <c r="D146" s="114"/>
      <c r="N146" s="181"/>
      <c r="O146" s="181"/>
    </row>
    <row r="147" spans="4:15" ht="15.75">
      <c r="D147" s="113"/>
      <c r="I147" s="39"/>
      <c r="N147" s="184"/>
      <c r="O147" s="184"/>
    </row>
    <row r="148" spans="14:15" ht="15.75">
      <c r="N148" s="181"/>
      <c r="O148" s="181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7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07" t="s">
        <v>235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126"/>
      <c r="R1" s="127"/>
    </row>
    <row r="2" spans="2:18" s="1" customFormat="1" ht="15.75" customHeight="1">
      <c r="B2" s="208"/>
      <c r="C2" s="208"/>
      <c r="D2" s="208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209"/>
      <c r="B3" s="211"/>
      <c r="C3" s="176" t="s">
        <v>0</v>
      </c>
      <c r="D3" s="177" t="s">
        <v>224</v>
      </c>
      <c r="E3" s="177"/>
      <c r="F3" s="178" t="s">
        <v>107</v>
      </c>
      <c r="G3" s="179"/>
      <c r="H3" s="179"/>
      <c r="I3" s="179"/>
      <c r="J3" s="179"/>
      <c r="K3" s="179"/>
      <c r="L3" s="180"/>
      <c r="M3" s="175" t="s">
        <v>225</v>
      </c>
      <c r="N3" s="213" t="s">
        <v>233</v>
      </c>
      <c r="O3" s="213"/>
      <c r="P3" s="213"/>
      <c r="Q3" s="213"/>
      <c r="R3" s="213"/>
    </row>
    <row r="4" spans="1:18" ht="22.5" customHeight="1">
      <c r="A4" s="209"/>
      <c r="B4" s="211"/>
      <c r="C4" s="176"/>
      <c r="D4" s="177"/>
      <c r="E4" s="177"/>
      <c r="F4" s="214" t="s">
        <v>116</v>
      </c>
      <c r="G4" s="201" t="s">
        <v>229</v>
      </c>
      <c r="H4" s="203" t="s">
        <v>230</v>
      </c>
      <c r="I4" s="199" t="s">
        <v>188</v>
      </c>
      <c r="J4" s="205" t="s">
        <v>189</v>
      </c>
      <c r="K4" s="192" t="s">
        <v>231</v>
      </c>
      <c r="L4" s="193"/>
      <c r="M4" s="212"/>
      <c r="N4" s="197" t="s">
        <v>236</v>
      </c>
      <c r="O4" s="199" t="s">
        <v>136</v>
      </c>
      <c r="P4" s="199" t="s">
        <v>135</v>
      </c>
      <c r="Q4" s="192" t="s">
        <v>234</v>
      </c>
      <c r="R4" s="193"/>
    </row>
    <row r="5" spans="1:18" ht="82.5" customHeight="1">
      <c r="A5" s="210"/>
      <c r="B5" s="211"/>
      <c r="C5" s="176"/>
      <c r="D5" s="150" t="s">
        <v>209</v>
      </c>
      <c r="E5" s="158" t="s">
        <v>228</v>
      </c>
      <c r="F5" s="215"/>
      <c r="G5" s="202"/>
      <c r="H5" s="204"/>
      <c r="I5" s="200"/>
      <c r="J5" s="206"/>
      <c r="K5" s="194"/>
      <c r="L5" s="195"/>
      <c r="M5" s="151" t="s">
        <v>232</v>
      </c>
      <c r="N5" s="198"/>
      <c r="O5" s="200"/>
      <c r="P5" s="200"/>
      <c r="Q5" s="194"/>
      <c r="R5" s="195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96"/>
      <c r="H137" s="196"/>
      <c r="I137" s="196"/>
      <c r="J137" s="196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91"/>
      <c r="O138" s="191"/>
    </row>
    <row r="139" spans="3:15" ht="15.75">
      <c r="C139" s="120">
        <v>41788</v>
      </c>
      <c r="D139" s="39">
        <v>5993.3</v>
      </c>
      <c r="F139" s="4" t="s">
        <v>166</v>
      </c>
      <c r="G139" s="187" t="s">
        <v>151</v>
      </c>
      <c r="H139" s="187"/>
      <c r="I139" s="115">
        <v>13825.22196</v>
      </c>
      <c r="J139" s="188" t="s">
        <v>161</v>
      </c>
      <c r="K139" s="188"/>
      <c r="L139" s="188"/>
      <c r="M139" s="188"/>
      <c r="N139" s="191"/>
      <c r="O139" s="191"/>
    </row>
    <row r="140" spans="3:15" ht="15.75">
      <c r="C140" s="120">
        <v>41787</v>
      </c>
      <c r="D140" s="39">
        <v>2595.2</v>
      </c>
      <c r="G140" s="189" t="s">
        <v>155</v>
      </c>
      <c r="H140" s="189"/>
      <c r="I140" s="112">
        <v>0</v>
      </c>
      <c r="J140" s="190" t="s">
        <v>162</v>
      </c>
      <c r="K140" s="190"/>
      <c r="L140" s="190"/>
      <c r="M140" s="190"/>
      <c r="N140" s="191"/>
      <c r="O140" s="191"/>
    </row>
    <row r="141" spans="7:13" ht="15.75" customHeight="1">
      <c r="G141" s="187" t="s">
        <v>148</v>
      </c>
      <c r="H141" s="187"/>
      <c r="I141" s="112">
        <v>0</v>
      </c>
      <c r="J141" s="188" t="s">
        <v>163</v>
      </c>
      <c r="K141" s="188"/>
      <c r="L141" s="188"/>
      <c r="M141" s="188"/>
    </row>
    <row r="142" spans="2:13" ht="18.75" customHeight="1">
      <c r="B142" s="185" t="s">
        <v>160</v>
      </c>
      <c r="C142" s="186"/>
      <c r="D142" s="117">
        <v>118982.48</v>
      </c>
      <c r="E142" s="80"/>
      <c r="F142" s="100" t="s">
        <v>147</v>
      </c>
      <c r="G142" s="187" t="s">
        <v>149</v>
      </c>
      <c r="H142" s="187"/>
      <c r="I142" s="116">
        <v>105157.26</v>
      </c>
      <c r="J142" s="188" t="s">
        <v>164</v>
      </c>
      <c r="K142" s="188"/>
      <c r="L142" s="188"/>
      <c r="M142" s="188"/>
    </row>
    <row r="143" spans="7:12" ht="9.75" customHeight="1">
      <c r="G143" s="181"/>
      <c r="H143" s="181"/>
      <c r="I143" s="98"/>
      <c r="J143" s="99"/>
      <c r="K143" s="99"/>
      <c r="L143" s="99"/>
    </row>
    <row r="144" spans="2:12" ht="22.5" customHeight="1">
      <c r="B144" s="182" t="s">
        <v>169</v>
      </c>
      <c r="C144" s="183"/>
      <c r="D144" s="119">
        <v>27359.4</v>
      </c>
      <c r="E144" s="77" t="s">
        <v>104</v>
      </c>
      <c r="G144" s="181"/>
      <c r="H144" s="181"/>
      <c r="I144" s="98"/>
      <c r="J144" s="99"/>
      <c r="K144" s="99"/>
      <c r="L144" s="99"/>
    </row>
    <row r="145" spans="4:15" ht="15.75">
      <c r="D145" s="114"/>
      <c r="N145" s="181"/>
      <c r="O145" s="181"/>
    </row>
    <row r="146" spans="4:15" ht="15.75">
      <c r="D146" s="113"/>
      <c r="I146" s="39"/>
      <c r="N146" s="184"/>
      <c r="O146" s="184"/>
    </row>
    <row r="147" spans="14:15" ht="15.75">
      <c r="N147" s="181"/>
      <c r="O147" s="181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07" t="s">
        <v>226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126"/>
      <c r="R1" s="127"/>
    </row>
    <row r="2" spans="2:18" s="1" customFormat="1" ht="15.75" customHeight="1">
      <c r="B2" s="208"/>
      <c r="C2" s="208"/>
      <c r="D2" s="208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209"/>
      <c r="B3" s="211"/>
      <c r="C3" s="176" t="s">
        <v>0</v>
      </c>
      <c r="D3" s="177" t="s">
        <v>224</v>
      </c>
      <c r="E3" s="177"/>
      <c r="F3" s="178" t="s">
        <v>107</v>
      </c>
      <c r="G3" s="179"/>
      <c r="H3" s="179"/>
      <c r="I3" s="179"/>
      <c r="J3" s="179"/>
      <c r="K3" s="179"/>
      <c r="L3" s="180"/>
      <c r="M3" s="175" t="s">
        <v>225</v>
      </c>
      <c r="N3" s="213" t="s">
        <v>221</v>
      </c>
      <c r="O3" s="213"/>
      <c r="P3" s="213"/>
      <c r="Q3" s="213"/>
      <c r="R3" s="213"/>
    </row>
    <row r="4" spans="1:18" ht="22.5" customHeight="1">
      <c r="A4" s="209"/>
      <c r="B4" s="211"/>
      <c r="C4" s="176"/>
      <c r="D4" s="177"/>
      <c r="E4" s="177"/>
      <c r="F4" s="214" t="s">
        <v>116</v>
      </c>
      <c r="G4" s="201" t="s">
        <v>217</v>
      </c>
      <c r="H4" s="203" t="s">
        <v>218</v>
      </c>
      <c r="I4" s="199" t="s">
        <v>188</v>
      </c>
      <c r="J4" s="205" t="s">
        <v>189</v>
      </c>
      <c r="K4" s="192" t="s">
        <v>219</v>
      </c>
      <c r="L4" s="193"/>
      <c r="M4" s="212"/>
      <c r="N4" s="197" t="s">
        <v>227</v>
      </c>
      <c r="O4" s="199" t="s">
        <v>136</v>
      </c>
      <c r="P4" s="199" t="s">
        <v>135</v>
      </c>
      <c r="Q4" s="192" t="s">
        <v>222</v>
      </c>
      <c r="R4" s="193"/>
    </row>
    <row r="5" spans="1:18" ht="82.5" customHeight="1">
      <c r="A5" s="210"/>
      <c r="B5" s="211"/>
      <c r="C5" s="176"/>
      <c r="D5" s="150" t="s">
        <v>209</v>
      </c>
      <c r="E5" s="158" t="s">
        <v>216</v>
      </c>
      <c r="F5" s="215"/>
      <c r="G5" s="202"/>
      <c r="H5" s="204"/>
      <c r="I5" s="200"/>
      <c r="J5" s="206"/>
      <c r="K5" s="194"/>
      <c r="L5" s="195"/>
      <c r="M5" s="151" t="s">
        <v>220</v>
      </c>
      <c r="N5" s="198"/>
      <c r="O5" s="200"/>
      <c r="P5" s="200"/>
      <c r="Q5" s="194"/>
      <c r="R5" s="195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6"/>
      <c r="H137" s="196"/>
      <c r="I137" s="196"/>
      <c r="J137" s="196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91"/>
      <c r="O138" s="191"/>
    </row>
    <row r="139" spans="3:15" ht="15.75">
      <c r="C139" s="120">
        <v>41758</v>
      </c>
      <c r="D139" s="39">
        <v>5440.9</v>
      </c>
      <c r="F139" s="4" t="s">
        <v>166</v>
      </c>
      <c r="G139" s="187" t="s">
        <v>151</v>
      </c>
      <c r="H139" s="187"/>
      <c r="I139" s="115">
        <v>13825.22</v>
      </c>
      <c r="J139" s="188" t="s">
        <v>161</v>
      </c>
      <c r="K139" s="188"/>
      <c r="L139" s="188"/>
      <c r="M139" s="188"/>
      <c r="N139" s="191"/>
      <c r="O139" s="191"/>
    </row>
    <row r="140" spans="3:15" ht="15.75">
      <c r="C140" s="120">
        <v>41757</v>
      </c>
      <c r="D140" s="39">
        <v>1923.2</v>
      </c>
      <c r="G140" s="189" t="s">
        <v>155</v>
      </c>
      <c r="H140" s="189"/>
      <c r="I140" s="112">
        <v>0</v>
      </c>
      <c r="J140" s="190" t="s">
        <v>162</v>
      </c>
      <c r="K140" s="190"/>
      <c r="L140" s="190"/>
      <c r="M140" s="190"/>
      <c r="N140" s="191"/>
      <c r="O140" s="191"/>
    </row>
    <row r="141" spans="7:13" ht="15.75" customHeight="1">
      <c r="G141" s="187" t="s">
        <v>148</v>
      </c>
      <c r="H141" s="187"/>
      <c r="I141" s="112">
        <v>0</v>
      </c>
      <c r="J141" s="188" t="s">
        <v>163</v>
      </c>
      <c r="K141" s="188"/>
      <c r="L141" s="188"/>
      <c r="M141" s="188"/>
    </row>
    <row r="142" spans="2:13" ht="18.75" customHeight="1">
      <c r="B142" s="185" t="s">
        <v>160</v>
      </c>
      <c r="C142" s="186"/>
      <c r="D142" s="117">
        <v>123251.48</v>
      </c>
      <c r="E142" s="80"/>
      <c r="F142" s="100" t="s">
        <v>147</v>
      </c>
      <c r="G142" s="187" t="s">
        <v>149</v>
      </c>
      <c r="H142" s="187"/>
      <c r="I142" s="116">
        <v>109426.25</v>
      </c>
      <c r="J142" s="188" t="s">
        <v>164</v>
      </c>
      <c r="K142" s="188"/>
      <c r="L142" s="188"/>
      <c r="M142" s="188"/>
    </row>
    <row r="143" spans="7:12" ht="9.75" customHeight="1">
      <c r="G143" s="181"/>
      <c r="H143" s="181"/>
      <c r="I143" s="98"/>
      <c r="J143" s="99"/>
      <c r="K143" s="99"/>
      <c r="L143" s="99"/>
    </row>
    <row r="144" spans="2:12" ht="22.5" customHeight="1">
      <c r="B144" s="182" t="s">
        <v>169</v>
      </c>
      <c r="C144" s="183"/>
      <c r="D144" s="119">
        <f>'[1]надх'!$B$52/1000</f>
        <v>15526.223119999991</v>
      </c>
      <c r="E144" s="77" t="s">
        <v>104</v>
      </c>
      <c r="G144" s="181"/>
      <c r="H144" s="181"/>
      <c r="I144" s="98"/>
      <c r="J144" s="99"/>
      <c r="K144" s="99"/>
      <c r="L144" s="99"/>
    </row>
    <row r="145" spans="4:15" ht="15.75">
      <c r="D145" s="114"/>
      <c r="N145" s="181"/>
      <c r="O145" s="181"/>
    </row>
    <row r="146" spans="4:15" ht="15.75">
      <c r="D146" s="113"/>
      <c r="I146" s="39"/>
      <c r="N146" s="184"/>
      <c r="O146" s="184"/>
    </row>
    <row r="147" spans="14:15" ht="15.75">
      <c r="N147" s="181"/>
      <c r="O147" s="181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207" t="s">
        <v>212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126"/>
      <c r="R1" s="127"/>
    </row>
    <row r="2" spans="2:18" s="1" customFormat="1" ht="15.75" customHeight="1">
      <c r="B2" s="208"/>
      <c r="C2" s="208"/>
      <c r="D2" s="208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209"/>
      <c r="B3" s="211"/>
      <c r="C3" s="176" t="s">
        <v>0</v>
      </c>
      <c r="D3" s="177" t="s">
        <v>208</v>
      </c>
      <c r="E3" s="177"/>
      <c r="F3" s="178" t="s">
        <v>107</v>
      </c>
      <c r="G3" s="179"/>
      <c r="H3" s="179"/>
      <c r="I3" s="179"/>
      <c r="J3" s="179"/>
      <c r="K3" s="179"/>
      <c r="L3" s="180"/>
      <c r="M3" s="175" t="s">
        <v>210</v>
      </c>
      <c r="N3" s="213" t="s">
        <v>198</v>
      </c>
      <c r="O3" s="213"/>
      <c r="P3" s="213"/>
      <c r="Q3" s="213"/>
      <c r="R3" s="213"/>
    </row>
    <row r="4" spans="1:18" ht="22.5" customHeight="1">
      <c r="A4" s="209"/>
      <c r="B4" s="211"/>
      <c r="C4" s="176"/>
      <c r="D4" s="177"/>
      <c r="E4" s="177"/>
      <c r="F4" s="214" t="s">
        <v>116</v>
      </c>
      <c r="G4" s="201" t="s">
        <v>207</v>
      </c>
      <c r="H4" s="203" t="s">
        <v>195</v>
      </c>
      <c r="I4" s="199" t="s">
        <v>188</v>
      </c>
      <c r="J4" s="205" t="s">
        <v>189</v>
      </c>
      <c r="K4" s="192" t="s">
        <v>196</v>
      </c>
      <c r="L4" s="193"/>
      <c r="M4" s="212"/>
      <c r="N4" s="197" t="s">
        <v>213</v>
      </c>
      <c r="O4" s="199" t="s">
        <v>136</v>
      </c>
      <c r="P4" s="199" t="s">
        <v>135</v>
      </c>
      <c r="Q4" s="192" t="s">
        <v>197</v>
      </c>
      <c r="R4" s="193"/>
    </row>
    <row r="5" spans="1:18" ht="82.5" customHeight="1">
      <c r="A5" s="210"/>
      <c r="B5" s="211"/>
      <c r="C5" s="176"/>
      <c r="D5" s="150" t="s">
        <v>209</v>
      </c>
      <c r="E5" s="158" t="s">
        <v>214</v>
      </c>
      <c r="F5" s="215"/>
      <c r="G5" s="202"/>
      <c r="H5" s="204"/>
      <c r="I5" s="200"/>
      <c r="J5" s="206"/>
      <c r="K5" s="194"/>
      <c r="L5" s="195"/>
      <c r="M5" s="151" t="s">
        <v>211</v>
      </c>
      <c r="N5" s="198"/>
      <c r="O5" s="200"/>
      <c r="P5" s="200"/>
      <c r="Q5" s="194"/>
      <c r="R5" s="195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6"/>
      <c r="H137" s="196"/>
      <c r="I137" s="196"/>
      <c r="J137" s="196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1"/>
      <c r="O138" s="191"/>
    </row>
    <row r="139" spans="3:15" ht="15.75">
      <c r="C139" s="120">
        <v>41726</v>
      </c>
      <c r="D139" s="39">
        <v>4682.6</v>
      </c>
      <c r="F139" s="4" t="s">
        <v>166</v>
      </c>
      <c r="G139" s="187" t="s">
        <v>151</v>
      </c>
      <c r="H139" s="187"/>
      <c r="I139" s="115">
        <v>13825.22196</v>
      </c>
      <c r="J139" s="188" t="s">
        <v>161</v>
      </c>
      <c r="K139" s="188"/>
      <c r="L139" s="188"/>
      <c r="M139" s="188"/>
      <c r="N139" s="191"/>
      <c r="O139" s="191"/>
    </row>
    <row r="140" spans="3:15" ht="15.75">
      <c r="C140" s="120">
        <v>41725</v>
      </c>
      <c r="D140" s="39">
        <v>3360.7</v>
      </c>
      <c r="G140" s="189" t="s">
        <v>155</v>
      </c>
      <c r="H140" s="189"/>
      <c r="I140" s="112">
        <v>0</v>
      </c>
      <c r="J140" s="190" t="s">
        <v>162</v>
      </c>
      <c r="K140" s="190"/>
      <c r="L140" s="190"/>
      <c r="M140" s="190"/>
      <c r="N140" s="191"/>
      <c r="O140" s="191"/>
    </row>
    <row r="141" spans="7:13" ht="15.75" customHeight="1">
      <c r="G141" s="187" t="s">
        <v>148</v>
      </c>
      <c r="H141" s="187"/>
      <c r="I141" s="112">
        <v>0</v>
      </c>
      <c r="J141" s="188" t="s">
        <v>163</v>
      </c>
      <c r="K141" s="188"/>
      <c r="L141" s="188"/>
      <c r="M141" s="188"/>
    </row>
    <row r="142" spans="2:13" ht="18.75" customHeight="1">
      <c r="B142" s="185" t="s">
        <v>160</v>
      </c>
      <c r="C142" s="186"/>
      <c r="D142" s="117">
        <v>114985.02570999999</v>
      </c>
      <c r="E142" s="80"/>
      <c r="F142" s="100" t="s">
        <v>147</v>
      </c>
      <c r="G142" s="187" t="s">
        <v>149</v>
      </c>
      <c r="H142" s="187"/>
      <c r="I142" s="116">
        <v>101159.80375</v>
      </c>
      <c r="J142" s="188" t="s">
        <v>164</v>
      </c>
      <c r="K142" s="188"/>
      <c r="L142" s="188"/>
      <c r="M142" s="188"/>
    </row>
    <row r="143" spans="7:12" ht="9.75" customHeight="1">
      <c r="G143" s="181"/>
      <c r="H143" s="181"/>
      <c r="I143" s="98"/>
      <c r="J143" s="99"/>
      <c r="K143" s="99"/>
      <c r="L143" s="99"/>
    </row>
    <row r="144" spans="2:12" ht="22.5" customHeight="1">
      <c r="B144" s="182" t="s">
        <v>169</v>
      </c>
      <c r="C144" s="183"/>
      <c r="D144" s="119">
        <v>3918.1</v>
      </c>
      <c r="E144" s="77" t="s">
        <v>104</v>
      </c>
      <c r="G144" s="181"/>
      <c r="H144" s="181"/>
      <c r="I144" s="98"/>
      <c r="J144" s="99"/>
      <c r="K144" s="99"/>
      <c r="L144" s="99"/>
    </row>
    <row r="145" spans="4:15" ht="15.75">
      <c r="D145" s="114"/>
      <c r="N145" s="181"/>
      <c r="O145" s="181"/>
    </row>
    <row r="146" spans="4:15" ht="15.75">
      <c r="D146" s="113"/>
      <c r="I146" s="39"/>
      <c r="N146" s="184"/>
      <c r="O146" s="184"/>
    </row>
    <row r="147" spans="14:15" ht="15.75">
      <c r="N147" s="181"/>
      <c r="O147" s="181"/>
    </row>
  </sheetData>
  <mergeCells count="38"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  <mergeCell ref="N4:N5"/>
    <mergeCell ref="O4:O5"/>
    <mergeCell ref="P4:P5"/>
    <mergeCell ref="G137:J137"/>
    <mergeCell ref="N138:O138"/>
    <mergeCell ref="G139:H139"/>
    <mergeCell ref="J139:M139"/>
    <mergeCell ref="N139:O139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5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207" t="s">
        <v>193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126"/>
      <c r="R1" s="127"/>
    </row>
    <row r="2" spans="2:18" s="1" customFormat="1" ht="15.75" customHeight="1">
      <c r="B2" s="208"/>
      <c r="C2" s="208"/>
      <c r="D2" s="208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209"/>
      <c r="B3" s="211"/>
      <c r="C3" s="176" t="s">
        <v>0</v>
      </c>
      <c r="D3" s="217" t="s">
        <v>187</v>
      </c>
      <c r="E3" s="46"/>
      <c r="F3" s="218" t="s">
        <v>107</v>
      </c>
      <c r="G3" s="219"/>
      <c r="H3" s="219"/>
      <c r="I3" s="219"/>
      <c r="J3" s="220"/>
      <c r="K3" s="123"/>
      <c r="L3" s="123"/>
      <c r="M3" s="221" t="s">
        <v>190</v>
      </c>
      <c r="N3" s="216" t="s">
        <v>185</v>
      </c>
      <c r="O3" s="216"/>
      <c r="P3" s="216"/>
      <c r="Q3" s="216"/>
      <c r="R3" s="216"/>
    </row>
    <row r="4" spans="1:18" ht="22.5" customHeight="1">
      <c r="A4" s="209"/>
      <c r="B4" s="211"/>
      <c r="C4" s="176"/>
      <c r="D4" s="217"/>
      <c r="E4" s="222" t="s">
        <v>191</v>
      </c>
      <c r="F4" s="224" t="s">
        <v>116</v>
      </c>
      <c r="G4" s="226" t="s">
        <v>167</v>
      </c>
      <c r="H4" s="203" t="s">
        <v>168</v>
      </c>
      <c r="I4" s="228" t="s">
        <v>188</v>
      </c>
      <c r="J4" s="230" t="s">
        <v>189</v>
      </c>
      <c r="K4" s="125" t="s">
        <v>174</v>
      </c>
      <c r="L4" s="130" t="s">
        <v>173</v>
      </c>
      <c r="M4" s="221"/>
      <c r="N4" s="197" t="s">
        <v>194</v>
      </c>
      <c r="O4" s="228" t="s">
        <v>136</v>
      </c>
      <c r="P4" s="216" t="s">
        <v>135</v>
      </c>
      <c r="Q4" s="131" t="s">
        <v>174</v>
      </c>
      <c r="R4" s="132" t="s">
        <v>173</v>
      </c>
    </row>
    <row r="5" spans="1:18" ht="82.5" customHeight="1">
      <c r="A5" s="210"/>
      <c r="B5" s="211"/>
      <c r="C5" s="176"/>
      <c r="D5" s="217"/>
      <c r="E5" s="223"/>
      <c r="F5" s="225"/>
      <c r="G5" s="227"/>
      <c r="H5" s="204"/>
      <c r="I5" s="229"/>
      <c r="J5" s="231"/>
      <c r="K5" s="194" t="s">
        <v>184</v>
      </c>
      <c r="L5" s="195"/>
      <c r="M5" s="221"/>
      <c r="N5" s="198"/>
      <c r="O5" s="229"/>
      <c r="P5" s="216"/>
      <c r="Q5" s="194" t="s">
        <v>199</v>
      </c>
      <c r="R5" s="195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6"/>
      <c r="H137" s="196"/>
      <c r="I137" s="196"/>
      <c r="J137" s="196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1"/>
      <c r="O138" s="191"/>
    </row>
    <row r="139" spans="3:15" ht="15.75">
      <c r="C139" s="120">
        <v>41697</v>
      </c>
      <c r="D139" s="39">
        <v>2276.8</v>
      </c>
      <c r="F139" s="4" t="s">
        <v>166</v>
      </c>
      <c r="G139" s="187" t="s">
        <v>151</v>
      </c>
      <c r="H139" s="187"/>
      <c r="I139" s="115">
        <v>13825.22</v>
      </c>
      <c r="J139" s="188" t="s">
        <v>161</v>
      </c>
      <c r="K139" s="188"/>
      <c r="L139" s="188"/>
      <c r="M139" s="188"/>
      <c r="N139" s="191"/>
      <c r="O139" s="191"/>
    </row>
    <row r="140" spans="3:15" ht="15.75">
      <c r="C140" s="120">
        <v>41696</v>
      </c>
      <c r="D140" s="39">
        <v>3746.1</v>
      </c>
      <c r="G140" s="189" t="s">
        <v>155</v>
      </c>
      <c r="H140" s="189"/>
      <c r="I140" s="112">
        <v>0</v>
      </c>
      <c r="J140" s="190" t="s">
        <v>162</v>
      </c>
      <c r="K140" s="190"/>
      <c r="L140" s="190"/>
      <c r="M140" s="190"/>
      <c r="N140" s="191"/>
      <c r="O140" s="191"/>
    </row>
    <row r="141" spans="7:13" ht="15.75" customHeight="1">
      <c r="G141" s="187" t="s">
        <v>148</v>
      </c>
      <c r="H141" s="187"/>
      <c r="I141" s="112">
        <f>'[1]залишки  (2)'!$G$8/1000</f>
        <v>0</v>
      </c>
      <c r="J141" s="188" t="s">
        <v>163</v>
      </c>
      <c r="K141" s="188"/>
      <c r="L141" s="188"/>
      <c r="M141" s="188"/>
    </row>
    <row r="142" spans="2:13" ht="18.75" customHeight="1">
      <c r="B142" s="185" t="s">
        <v>160</v>
      </c>
      <c r="C142" s="186"/>
      <c r="D142" s="117">
        <v>121970.53</v>
      </c>
      <c r="E142" s="80"/>
      <c r="F142" s="100" t="s">
        <v>147</v>
      </c>
      <c r="G142" s="187" t="s">
        <v>149</v>
      </c>
      <c r="H142" s="187"/>
      <c r="I142" s="116">
        <v>108145.31</v>
      </c>
      <c r="J142" s="188" t="s">
        <v>164</v>
      </c>
      <c r="K142" s="188"/>
      <c r="L142" s="188"/>
      <c r="M142" s="188"/>
    </row>
    <row r="143" spans="7:12" ht="9.75" customHeight="1">
      <c r="G143" s="181"/>
      <c r="H143" s="181"/>
      <c r="I143" s="98"/>
      <c r="J143" s="99"/>
      <c r="K143" s="99"/>
      <c r="L143" s="99"/>
    </row>
    <row r="144" spans="2:12" ht="22.5" customHeight="1">
      <c r="B144" s="182" t="s">
        <v>169</v>
      </c>
      <c r="C144" s="183"/>
      <c r="D144" s="119">
        <v>0</v>
      </c>
      <c r="E144" s="77" t="s">
        <v>104</v>
      </c>
      <c r="G144" s="181"/>
      <c r="H144" s="181"/>
      <c r="I144" s="98"/>
      <c r="J144" s="99"/>
      <c r="K144" s="99"/>
      <c r="L144" s="99"/>
    </row>
    <row r="145" spans="4:15" ht="15.75">
      <c r="D145" s="114"/>
      <c r="N145" s="181"/>
      <c r="O145" s="181"/>
    </row>
    <row r="146" spans="4:15" ht="15.75">
      <c r="D146" s="113"/>
      <c r="I146" s="39"/>
      <c r="N146" s="184"/>
      <c r="O146" s="184"/>
    </row>
    <row r="147" spans="14:15" ht="15.75">
      <c r="N147" s="181"/>
      <c r="O147" s="181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207" t="s">
        <v>183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126"/>
      <c r="R1" s="127"/>
    </row>
    <row r="2" spans="2:18" s="1" customFormat="1" ht="15.75" customHeight="1">
      <c r="B2" s="208"/>
      <c r="C2" s="208"/>
      <c r="D2" s="208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209"/>
      <c r="B3" s="211"/>
      <c r="C3" s="176" t="s">
        <v>0</v>
      </c>
      <c r="D3" s="217" t="s">
        <v>192</v>
      </c>
      <c r="E3" s="46"/>
      <c r="F3" s="218" t="s">
        <v>107</v>
      </c>
      <c r="G3" s="219"/>
      <c r="H3" s="219"/>
      <c r="I3" s="219"/>
      <c r="J3" s="220"/>
      <c r="K3" s="123"/>
      <c r="L3" s="123"/>
      <c r="M3" s="205" t="s">
        <v>200</v>
      </c>
      <c r="N3" s="216" t="s">
        <v>178</v>
      </c>
      <c r="O3" s="216"/>
      <c r="P3" s="216"/>
      <c r="Q3" s="216"/>
      <c r="R3" s="216"/>
    </row>
    <row r="4" spans="1:18" ht="22.5" customHeight="1">
      <c r="A4" s="209"/>
      <c r="B4" s="211"/>
      <c r="C4" s="176"/>
      <c r="D4" s="217"/>
      <c r="E4" s="222" t="s">
        <v>153</v>
      </c>
      <c r="F4" s="224" t="s">
        <v>116</v>
      </c>
      <c r="G4" s="226" t="s">
        <v>175</v>
      </c>
      <c r="H4" s="203" t="s">
        <v>176</v>
      </c>
      <c r="I4" s="228" t="s">
        <v>188</v>
      </c>
      <c r="J4" s="230" t="s">
        <v>189</v>
      </c>
      <c r="K4" s="125" t="s">
        <v>174</v>
      </c>
      <c r="L4" s="130" t="s">
        <v>173</v>
      </c>
      <c r="M4" s="232"/>
      <c r="N4" s="197" t="s">
        <v>186</v>
      </c>
      <c r="O4" s="228" t="s">
        <v>136</v>
      </c>
      <c r="P4" s="216" t="s">
        <v>135</v>
      </c>
      <c r="Q4" s="131" t="s">
        <v>174</v>
      </c>
      <c r="R4" s="132" t="s">
        <v>173</v>
      </c>
    </row>
    <row r="5" spans="1:18" ht="82.5" customHeight="1">
      <c r="A5" s="210"/>
      <c r="B5" s="211"/>
      <c r="C5" s="176"/>
      <c r="D5" s="217"/>
      <c r="E5" s="223"/>
      <c r="F5" s="225"/>
      <c r="G5" s="227"/>
      <c r="H5" s="204"/>
      <c r="I5" s="229"/>
      <c r="J5" s="231"/>
      <c r="K5" s="194" t="s">
        <v>177</v>
      </c>
      <c r="L5" s="195"/>
      <c r="M5" s="206"/>
      <c r="N5" s="198"/>
      <c r="O5" s="229"/>
      <c r="P5" s="216"/>
      <c r="Q5" s="194" t="s">
        <v>179</v>
      </c>
      <c r="R5" s="195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6"/>
      <c r="H137" s="196"/>
      <c r="I137" s="196"/>
      <c r="J137" s="196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1"/>
      <c r="O138" s="191"/>
    </row>
    <row r="139" spans="3:15" ht="15.75">
      <c r="C139" s="120">
        <v>41669</v>
      </c>
      <c r="D139" s="39">
        <v>4752.2</v>
      </c>
      <c r="F139" s="4" t="s">
        <v>166</v>
      </c>
      <c r="G139" s="187" t="s">
        <v>151</v>
      </c>
      <c r="H139" s="187"/>
      <c r="I139" s="115">
        <v>13825.22</v>
      </c>
      <c r="J139" s="188" t="s">
        <v>161</v>
      </c>
      <c r="K139" s="188"/>
      <c r="L139" s="188"/>
      <c r="M139" s="188"/>
      <c r="N139" s="191"/>
      <c r="O139" s="191"/>
    </row>
    <row r="140" spans="3:15" ht="15.75">
      <c r="C140" s="120">
        <v>41668</v>
      </c>
      <c r="D140" s="39">
        <v>1984.7</v>
      </c>
      <c r="G140" s="189" t="s">
        <v>155</v>
      </c>
      <c r="H140" s="189"/>
      <c r="I140" s="112">
        <v>0</v>
      </c>
      <c r="J140" s="190" t="s">
        <v>162</v>
      </c>
      <c r="K140" s="190"/>
      <c r="L140" s="190"/>
      <c r="M140" s="190"/>
      <c r="N140" s="191"/>
      <c r="O140" s="191"/>
    </row>
    <row r="141" spans="7:13" ht="15.75" customHeight="1">
      <c r="G141" s="187" t="s">
        <v>148</v>
      </c>
      <c r="H141" s="187"/>
      <c r="I141" s="112">
        <v>0</v>
      </c>
      <c r="J141" s="188" t="s">
        <v>163</v>
      </c>
      <c r="K141" s="188"/>
      <c r="L141" s="188"/>
      <c r="M141" s="188"/>
    </row>
    <row r="142" spans="2:13" ht="18.75" customHeight="1">
      <c r="B142" s="185" t="s">
        <v>160</v>
      </c>
      <c r="C142" s="186"/>
      <c r="D142" s="117">
        <v>111410.62</v>
      </c>
      <c r="E142" s="80"/>
      <c r="F142" s="100" t="s">
        <v>147</v>
      </c>
      <c r="G142" s="187" t="s">
        <v>149</v>
      </c>
      <c r="H142" s="187"/>
      <c r="I142" s="116">
        <v>97585.4</v>
      </c>
      <c r="J142" s="188" t="s">
        <v>164</v>
      </c>
      <c r="K142" s="188"/>
      <c r="L142" s="188"/>
      <c r="M142" s="188"/>
    </row>
    <row r="143" spans="7:12" ht="9.75" customHeight="1">
      <c r="G143" s="181"/>
      <c r="H143" s="181"/>
      <c r="I143" s="98"/>
      <c r="J143" s="99"/>
      <c r="K143" s="99"/>
      <c r="L143" s="99"/>
    </row>
    <row r="144" spans="2:12" ht="22.5" customHeight="1">
      <c r="B144" s="182" t="s">
        <v>169</v>
      </c>
      <c r="C144" s="183"/>
      <c r="D144" s="119">
        <v>0</v>
      </c>
      <c r="E144" s="77" t="s">
        <v>104</v>
      </c>
      <c r="G144" s="181"/>
      <c r="H144" s="181"/>
      <c r="I144" s="98"/>
      <c r="J144" s="99"/>
      <c r="K144" s="99"/>
      <c r="L144" s="99"/>
    </row>
    <row r="145" spans="4:15" ht="15.75">
      <c r="D145" s="114"/>
      <c r="N145" s="181"/>
      <c r="O145" s="181"/>
    </row>
    <row r="146" spans="4:15" ht="15.75">
      <c r="D146" s="113"/>
      <c r="I146" s="39"/>
      <c r="N146" s="184"/>
      <c r="O146" s="184"/>
    </row>
    <row r="147" spans="14:15" ht="15.75">
      <c r="N147" s="181"/>
      <c r="O147" s="181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2014-09-03T07:07:13Z</cp:lastPrinted>
  <dcterms:created xsi:type="dcterms:W3CDTF">2003-07-28T11:27:56Z</dcterms:created>
  <dcterms:modified xsi:type="dcterms:W3CDTF">2014-09-04T11:26:21Z</dcterms:modified>
  <cp:category/>
  <cp:version/>
  <cp:contentType/>
  <cp:contentStatus/>
</cp:coreProperties>
</file>